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4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5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drawings/drawing8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 codeName="{AE6600E7-7A62-396C-DE95-9942FA9DD81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. Dérer István\Documents\NEAK_m\BBHE\2022\MB'22\"/>
    </mc:Choice>
  </mc:AlternateContent>
  <xr:revisionPtr revIDLastSave="0" documentId="13_ncr:1_{C77974E7-E86F-4A2C-BCE8-30BEC5C8C2F3}" xr6:coauthVersionLast="47" xr6:coauthVersionMax="47" xr10:uidLastSave="{00000000-0000-0000-0000-000000000000}"/>
  <bookViews>
    <workbookView xWindow="-108" yWindow="-108" windowWidth="23256" windowHeight="12456" tabRatio="505" firstSheet="1" activeTab="4" xr2:uid="{00000000-000D-0000-FFFF-FFFF00000000}"/>
  </bookViews>
  <sheets>
    <sheet name="ISMERTETŐ" sheetId="18" r:id="rId1"/>
    <sheet name="alap" sheetId="1" r:id="rId2"/>
    <sheet name="Sorrendek" sheetId="14" r:id="rId3"/>
    <sheet name="Listák" sheetId="17" r:id="rId4"/>
    <sheet name="ÖsszesenÁllás" sheetId="21" r:id="rId5"/>
    <sheet name="Végeredmény" sheetId="27" state="hidden" r:id="rId6"/>
    <sheet name="Statisztika" sheetId="23" r:id="rId7"/>
    <sheet name="MérlegLapok" sheetId="2" r:id="rId8"/>
    <sheet name="Befizetés" sheetId="24" r:id="rId9"/>
    <sheet name="MérlegLap(ures)" sheetId="19" r:id="rId10"/>
    <sheet name="Befizetés(ures)" sheetId="26" r:id="rId11"/>
  </sheets>
  <definedNames>
    <definedName name="_xlnm._FilterDatabase" localSheetId="1" hidden="1">alap!$A$1:$AY$199</definedName>
    <definedName name="_xlnm._FilterDatabase" localSheetId="4" hidden="1">ÖsszesenÁllás!$A$1:$F$5</definedName>
    <definedName name="_xlnm._FilterDatabase" localSheetId="5" hidden="1">Végeredmény!$B$5:$P$6</definedName>
    <definedName name="_xlnm.Print_Titles" localSheetId="1">alap!$A:$E,alap!$1:$5</definedName>
    <definedName name="_xlnm.Print_Titles" localSheetId="8">Befizetés!$1:$5</definedName>
    <definedName name="_xlnm.Print_Titles" localSheetId="10">'Befizetés(ures)'!$1:$5</definedName>
    <definedName name="_xlnm.Print_Titles" localSheetId="3">Listák!$1:$5</definedName>
    <definedName name="_xlnm.Print_Titles" localSheetId="4">ÖsszesenÁllás!$1:$6</definedName>
    <definedName name="_xlnm.Print_Titles" localSheetId="5">Végeredmény!$1:$6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" i="21" l="1"/>
  <c r="E4" i="21"/>
  <c r="H4" i="17"/>
  <c r="I3" i="17"/>
  <c r="I19" i="14"/>
  <c r="L4" i="24" l="1"/>
  <c r="K4" i="24"/>
  <c r="J4" i="24"/>
  <c r="I4" i="24"/>
  <c r="H4" i="24"/>
  <c r="G4" i="24"/>
  <c r="C4" i="24"/>
  <c r="AT51" i="1" l="1"/>
  <c r="AU51" i="1"/>
  <c r="AV51" i="1"/>
  <c r="AW51" i="1"/>
  <c r="AU49" i="1" l="1"/>
  <c r="AG199" i="1"/>
  <c r="AF199" i="1"/>
  <c r="AG198" i="1"/>
  <c r="AF198" i="1"/>
  <c r="AG197" i="1"/>
  <c r="AF197" i="1"/>
  <c r="AG196" i="1"/>
  <c r="AF196" i="1"/>
  <c r="AG195" i="1"/>
  <c r="AF195" i="1"/>
  <c r="AG194" i="1"/>
  <c r="AF194" i="1"/>
  <c r="AG193" i="1"/>
  <c r="AF193" i="1"/>
  <c r="AG192" i="1"/>
  <c r="AF192" i="1"/>
  <c r="AG191" i="1"/>
  <c r="AF191" i="1"/>
  <c r="AG190" i="1"/>
  <c r="AF190" i="1"/>
  <c r="AG189" i="1"/>
  <c r="AF189" i="1"/>
  <c r="AG188" i="1"/>
  <c r="AF188" i="1"/>
  <c r="AG187" i="1"/>
  <c r="AF187" i="1"/>
  <c r="AG186" i="1"/>
  <c r="AF186" i="1"/>
  <c r="AG185" i="1"/>
  <c r="AF185" i="1"/>
  <c r="AG184" i="1"/>
  <c r="AF184" i="1"/>
  <c r="AG183" i="1"/>
  <c r="AF183" i="1"/>
  <c r="AG182" i="1"/>
  <c r="AF182" i="1"/>
  <c r="AG181" i="1"/>
  <c r="AF181" i="1"/>
  <c r="AG180" i="1"/>
  <c r="AF180" i="1"/>
  <c r="AG179" i="1"/>
  <c r="AF179" i="1"/>
  <c r="AG178" i="1"/>
  <c r="AF178" i="1"/>
  <c r="AG177" i="1"/>
  <c r="AF177" i="1"/>
  <c r="AG176" i="1"/>
  <c r="AF176" i="1"/>
  <c r="AG175" i="1"/>
  <c r="AF175" i="1"/>
  <c r="AG174" i="1"/>
  <c r="AF174" i="1"/>
  <c r="AG173" i="1"/>
  <c r="AF173" i="1"/>
  <c r="AG172" i="1"/>
  <c r="AF172" i="1"/>
  <c r="AG171" i="1"/>
  <c r="AF171" i="1"/>
  <c r="AG170" i="1"/>
  <c r="AF170" i="1"/>
  <c r="AG169" i="1"/>
  <c r="AF169" i="1"/>
  <c r="AG168" i="1"/>
  <c r="AF168" i="1"/>
  <c r="AG167" i="1"/>
  <c r="AF167" i="1"/>
  <c r="AG166" i="1"/>
  <c r="AF166" i="1"/>
  <c r="AG165" i="1"/>
  <c r="AF165" i="1"/>
  <c r="AG65" i="1"/>
  <c r="AF65" i="1"/>
  <c r="AG73" i="1"/>
  <c r="AF73" i="1"/>
  <c r="AG48" i="1"/>
  <c r="AF48" i="1"/>
  <c r="AG11" i="1"/>
  <c r="AF11" i="1"/>
  <c r="AG6" i="1"/>
  <c r="AF6" i="1"/>
  <c r="AG23" i="1"/>
  <c r="AF23" i="1"/>
  <c r="AG13" i="1"/>
  <c r="AF13" i="1"/>
  <c r="AG14" i="1"/>
  <c r="AF14" i="1"/>
  <c r="AG8" i="1"/>
  <c r="AF8" i="1"/>
  <c r="AG7" i="1"/>
  <c r="AF7" i="1"/>
  <c r="AG68" i="1"/>
  <c r="AF68" i="1"/>
  <c r="AG79" i="1"/>
  <c r="AF79" i="1"/>
  <c r="AG164" i="1"/>
  <c r="AF164" i="1"/>
  <c r="AG163" i="1"/>
  <c r="AF163" i="1"/>
  <c r="AG162" i="1"/>
  <c r="AF162" i="1"/>
  <c r="AG36" i="1"/>
  <c r="AF36" i="1"/>
  <c r="AG32" i="1"/>
  <c r="AF32" i="1"/>
  <c r="AG161" i="1"/>
  <c r="AF161" i="1"/>
  <c r="AG160" i="1"/>
  <c r="AF160" i="1"/>
  <c r="AG159" i="1"/>
  <c r="AF159" i="1"/>
  <c r="AG158" i="1"/>
  <c r="AF158" i="1"/>
  <c r="AG157" i="1"/>
  <c r="AF157" i="1"/>
  <c r="AG156" i="1"/>
  <c r="AF156" i="1"/>
  <c r="AG28" i="1"/>
  <c r="AF28" i="1"/>
  <c r="AG74" i="1"/>
  <c r="AF74" i="1"/>
  <c r="AG34" i="1"/>
  <c r="AF34" i="1"/>
  <c r="AG57" i="1"/>
  <c r="AF57" i="1"/>
  <c r="AG155" i="1"/>
  <c r="AF155" i="1"/>
  <c r="AG154" i="1"/>
  <c r="AF154" i="1"/>
  <c r="AG78" i="1"/>
  <c r="AF78" i="1"/>
  <c r="AG153" i="1"/>
  <c r="AF153" i="1"/>
  <c r="AG152" i="1"/>
  <c r="AF152" i="1"/>
  <c r="AG151" i="1"/>
  <c r="AF151" i="1"/>
  <c r="AG150" i="1"/>
  <c r="AF150" i="1"/>
  <c r="AG149" i="1"/>
  <c r="AF149" i="1"/>
  <c r="AG148" i="1"/>
  <c r="AF148" i="1"/>
  <c r="AG33" i="1"/>
  <c r="AF33" i="1"/>
  <c r="AG16" i="1"/>
  <c r="AF16" i="1"/>
  <c r="AG147" i="1"/>
  <c r="AF147" i="1"/>
  <c r="AG49" i="1"/>
  <c r="AF49" i="1"/>
  <c r="AG146" i="1"/>
  <c r="AF146" i="1"/>
  <c r="AG24" i="1"/>
  <c r="AF24" i="1"/>
  <c r="AG145" i="1"/>
  <c r="AF145" i="1"/>
  <c r="AG35" i="1"/>
  <c r="AF35" i="1"/>
  <c r="AG43" i="1"/>
  <c r="AF43" i="1"/>
  <c r="AG50" i="1"/>
  <c r="AF50" i="1"/>
  <c r="AG144" i="1"/>
  <c r="AF144" i="1"/>
  <c r="AG51" i="1"/>
  <c r="AF51" i="1"/>
  <c r="AG38" i="1"/>
  <c r="AF38" i="1"/>
  <c r="AG71" i="1"/>
  <c r="AF71" i="1"/>
  <c r="AG37" i="1"/>
  <c r="AF37" i="1"/>
  <c r="AG44" i="1"/>
  <c r="AF44" i="1"/>
  <c r="AG39" i="1"/>
  <c r="AF39" i="1"/>
  <c r="AG45" i="1"/>
  <c r="AF45" i="1"/>
  <c r="AG143" i="1"/>
  <c r="AF143" i="1"/>
  <c r="AG142" i="1"/>
  <c r="AF142" i="1"/>
  <c r="AG141" i="1"/>
  <c r="AF141" i="1"/>
  <c r="AG140" i="1"/>
  <c r="AF140" i="1"/>
  <c r="AG139" i="1"/>
  <c r="AF139" i="1"/>
  <c r="AG30" i="1"/>
  <c r="AF30" i="1"/>
  <c r="AG138" i="1"/>
  <c r="AF138" i="1"/>
  <c r="AG20" i="1"/>
  <c r="AF20" i="1"/>
  <c r="AG18" i="1"/>
  <c r="AF18" i="1"/>
  <c r="AG61" i="1"/>
  <c r="AF61" i="1"/>
  <c r="AG77" i="1"/>
  <c r="AF77" i="1"/>
  <c r="AG60" i="1"/>
  <c r="AF60" i="1"/>
  <c r="AG137" i="1"/>
  <c r="AF137" i="1"/>
  <c r="AG136" i="1"/>
  <c r="AF136" i="1"/>
  <c r="AG135" i="1"/>
  <c r="AF135" i="1"/>
  <c r="AG53" i="1"/>
  <c r="AF53" i="1"/>
  <c r="AG58" i="1"/>
  <c r="AF58" i="1"/>
  <c r="AG134" i="1"/>
  <c r="AF134" i="1"/>
  <c r="AG133" i="1"/>
  <c r="AF133" i="1"/>
  <c r="AG132" i="1"/>
  <c r="AF132" i="1"/>
  <c r="AG131" i="1"/>
  <c r="AF131" i="1"/>
  <c r="AG40" i="1"/>
  <c r="AF40" i="1"/>
  <c r="AG130" i="1"/>
  <c r="AF130" i="1"/>
  <c r="AG129" i="1"/>
  <c r="AF129" i="1"/>
  <c r="AG128" i="1"/>
  <c r="AF128" i="1"/>
  <c r="AG55" i="1"/>
  <c r="AF55" i="1"/>
  <c r="AG25" i="1"/>
  <c r="AF25" i="1"/>
  <c r="AG17" i="1"/>
  <c r="AF17" i="1"/>
  <c r="AG21" i="1"/>
  <c r="AF21" i="1"/>
  <c r="AG26" i="1"/>
  <c r="AF26" i="1"/>
  <c r="AG127" i="1"/>
  <c r="AF127" i="1"/>
  <c r="AG126" i="1"/>
  <c r="AF126" i="1"/>
  <c r="AG19" i="1"/>
  <c r="AF19" i="1"/>
  <c r="AG31" i="1"/>
  <c r="AF31" i="1"/>
  <c r="AG9" i="1"/>
  <c r="AF9" i="1"/>
  <c r="AG125" i="1"/>
  <c r="AF125" i="1"/>
  <c r="AG124" i="1"/>
  <c r="AF124" i="1"/>
  <c r="AG123" i="1"/>
  <c r="AF123" i="1"/>
  <c r="AG122" i="1"/>
  <c r="AF122" i="1"/>
  <c r="AG121" i="1"/>
  <c r="AF121" i="1"/>
  <c r="AG120" i="1"/>
  <c r="AF120" i="1"/>
  <c r="AG29" i="1"/>
  <c r="AF29" i="1"/>
  <c r="AG119" i="1"/>
  <c r="AF119" i="1"/>
  <c r="AG66" i="1"/>
  <c r="AF66" i="1"/>
  <c r="AG118" i="1"/>
  <c r="AF118" i="1"/>
  <c r="AG117" i="1"/>
  <c r="AF117" i="1"/>
  <c r="AG64" i="1"/>
  <c r="AF64" i="1"/>
  <c r="AG116" i="1"/>
  <c r="AF116" i="1"/>
  <c r="AG115" i="1"/>
  <c r="AF115" i="1"/>
  <c r="AG114" i="1"/>
  <c r="AF114" i="1"/>
  <c r="AG52" i="1"/>
  <c r="AF52" i="1"/>
  <c r="AG41" i="1"/>
  <c r="AF41" i="1"/>
  <c r="AG54" i="1"/>
  <c r="AF54" i="1"/>
  <c r="AG47" i="1"/>
  <c r="AF47" i="1"/>
  <c r="AG113" i="1"/>
  <c r="AF113" i="1"/>
  <c r="AG10" i="1"/>
  <c r="AF10" i="1"/>
  <c r="AG112" i="1"/>
  <c r="AF112" i="1"/>
  <c r="AG76" i="1"/>
  <c r="AF76" i="1"/>
  <c r="AG111" i="1"/>
  <c r="AF111" i="1"/>
  <c r="AG110" i="1"/>
  <c r="AF110" i="1"/>
  <c r="AG109" i="1"/>
  <c r="AF109" i="1"/>
  <c r="AG70" i="1"/>
  <c r="AF70" i="1"/>
  <c r="AG108" i="1"/>
  <c r="AF108" i="1"/>
  <c r="AG107" i="1"/>
  <c r="AF107" i="1"/>
  <c r="AG56" i="1"/>
  <c r="AF56" i="1"/>
  <c r="AG106" i="1"/>
  <c r="AF106" i="1"/>
  <c r="AG105" i="1"/>
  <c r="AF105" i="1"/>
  <c r="AG104" i="1"/>
  <c r="AF104" i="1"/>
  <c r="AG67" i="1"/>
  <c r="AF67" i="1"/>
  <c r="AG103" i="1"/>
  <c r="AF103" i="1"/>
  <c r="AG102" i="1"/>
  <c r="AF102" i="1"/>
  <c r="AG42" i="1"/>
  <c r="AF42" i="1"/>
  <c r="AG101" i="1"/>
  <c r="AF101" i="1"/>
  <c r="AG100" i="1"/>
  <c r="AF100" i="1"/>
  <c r="AG46" i="1"/>
  <c r="AF46" i="1"/>
  <c r="AG12" i="1"/>
  <c r="AF12" i="1"/>
  <c r="AG22" i="1"/>
  <c r="AF22" i="1"/>
  <c r="AG27" i="1"/>
  <c r="AF27" i="1"/>
  <c r="AG99" i="1"/>
  <c r="AF99" i="1"/>
  <c r="AG98" i="1"/>
  <c r="AF98" i="1"/>
  <c r="AG15" i="1"/>
  <c r="AF15" i="1"/>
  <c r="AG97" i="1"/>
  <c r="AF97" i="1"/>
  <c r="AG63" i="1"/>
  <c r="AF63" i="1"/>
  <c r="AG96" i="1"/>
  <c r="AF96" i="1"/>
  <c r="AG69" i="1"/>
  <c r="AF69" i="1"/>
  <c r="AG95" i="1"/>
  <c r="AF95" i="1"/>
  <c r="AG94" i="1"/>
  <c r="AF94" i="1"/>
  <c r="AG93" i="1"/>
  <c r="AF93" i="1"/>
  <c r="AG92" i="1"/>
  <c r="AF92" i="1"/>
  <c r="AG91" i="1"/>
  <c r="AF91" i="1"/>
  <c r="AG90" i="1"/>
  <c r="AF90" i="1"/>
  <c r="AG89" i="1"/>
  <c r="AF89" i="1"/>
  <c r="AG59" i="1"/>
  <c r="AF59" i="1"/>
  <c r="AG72" i="1"/>
  <c r="AF72" i="1"/>
  <c r="AG75" i="1"/>
  <c r="AF75" i="1"/>
  <c r="AG62" i="1"/>
  <c r="AF62" i="1"/>
  <c r="AG88" i="1"/>
  <c r="AF88" i="1"/>
  <c r="AG87" i="1"/>
  <c r="AF87" i="1"/>
  <c r="AG86" i="1"/>
  <c r="AF86" i="1"/>
  <c r="AG85" i="1"/>
  <c r="AF85" i="1"/>
  <c r="AG84" i="1"/>
  <c r="AF84" i="1"/>
  <c r="AG83" i="1"/>
  <c r="AF83" i="1"/>
  <c r="AG82" i="1"/>
  <c r="AF82" i="1"/>
  <c r="AG81" i="1"/>
  <c r="AF81" i="1"/>
  <c r="AG80" i="1"/>
  <c r="AF8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65" i="1"/>
  <c r="V73" i="1"/>
  <c r="V48" i="1"/>
  <c r="V11" i="1"/>
  <c r="V6" i="1"/>
  <c r="V23" i="1"/>
  <c r="V13" i="1"/>
  <c r="V14" i="1"/>
  <c r="V8" i="1"/>
  <c r="V7" i="1"/>
  <c r="V68" i="1"/>
  <c r="V79" i="1"/>
  <c r="V164" i="1"/>
  <c r="V163" i="1"/>
  <c r="V162" i="1"/>
  <c r="V36" i="1"/>
  <c r="V32" i="1"/>
  <c r="V161" i="1"/>
  <c r="V160" i="1"/>
  <c r="V159" i="1"/>
  <c r="V158" i="1"/>
  <c r="V157" i="1"/>
  <c r="V156" i="1"/>
  <c r="V28" i="1"/>
  <c r="V74" i="1"/>
  <c r="V34" i="1"/>
  <c r="V57" i="1"/>
  <c r="V155" i="1"/>
  <c r="V154" i="1"/>
  <c r="V78" i="1"/>
  <c r="V153" i="1"/>
  <c r="V152" i="1"/>
  <c r="V151" i="1"/>
  <c r="V150" i="1"/>
  <c r="V149" i="1"/>
  <c r="V148" i="1"/>
  <c r="V33" i="1"/>
  <c r="V16" i="1"/>
  <c r="V147" i="1"/>
  <c r="V49" i="1"/>
  <c r="V146" i="1"/>
  <c r="V24" i="1"/>
  <c r="V145" i="1"/>
  <c r="V35" i="1"/>
  <c r="V43" i="1"/>
  <c r="V50" i="1"/>
  <c r="V144" i="1"/>
  <c r="V51" i="1"/>
  <c r="V38" i="1"/>
  <c r="V71" i="1"/>
  <c r="V37" i="1"/>
  <c r="V44" i="1"/>
  <c r="V39" i="1"/>
  <c r="V45" i="1"/>
  <c r="V143" i="1"/>
  <c r="V142" i="1"/>
  <c r="V141" i="1"/>
  <c r="V140" i="1"/>
  <c r="V139" i="1"/>
  <c r="V30" i="1"/>
  <c r="V138" i="1"/>
  <c r="V20" i="1"/>
  <c r="V18" i="1"/>
  <c r="V61" i="1"/>
  <c r="V77" i="1"/>
  <c r="V60" i="1"/>
  <c r="V137" i="1"/>
  <c r="V136" i="1"/>
  <c r="V135" i="1"/>
  <c r="V53" i="1"/>
  <c r="V58" i="1"/>
  <c r="V134" i="1"/>
  <c r="V133" i="1"/>
  <c r="V132" i="1"/>
  <c r="V131" i="1"/>
  <c r="V40" i="1"/>
  <c r="V130" i="1"/>
  <c r="V129" i="1"/>
  <c r="V128" i="1"/>
  <c r="V55" i="1"/>
  <c r="V25" i="1"/>
  <c r="V17" i="1"/>
  <c r="V21" i="1"/>
  <c r="V26" i="1"/>
  <c r="V127" i="1"/>
  <c r="V126" i="1"/>
  <c r="V19" i="1"/>
  <c r="V31" i="1"/>
  <c r="V9" i="1"/>
  <c r="V125" i="1"/>
  <c r="V124" i="1"/>
  <c r="V123" i="1"/>
  <c r="V122" i="1"/>
  <c r="V121" i="1"/>
  <c r="V120" i="1"/>
  <c r="V29" i="1"/>
  <c r="V119" i="1"/>
  <c r="V66" i="1"/>
  <c r="V118" i="1"/>
  <c r="V117" i="1"/>
  <c r="V64" i="1"/>
  <c r="V116" i="1"/>
  <c r="V115" i="1"/>
  <c r="V114" i="1"/>
  <c r="V52" i="1"/>
  <c r="V41" i="1"/>
  <c r="V54" i="1"/>
  <c r="V47" i="1"/>
  <c r="V113" i="1"/>
  <c r="V10" i="1"/>
  <c r="V112" i="1"/>
  <c r="V76" i="1"/>
  <c r="V111" i="1"/>
  <c r="V110" i="1"/>
  <c r="V109" i="1"/>
  <c r="V70" i="1"/>
  <c r="V108" i="1"/>
  <c r="V107" i="1"/>
  <c r="V56" i="1"/>
  <c r="V106" i="1"/>
  <c r="V105" i="1"/>
  <c r="V104" i="1"/>
  <c r="V67" i="1"/>
  <c r="V103" i="1"/>
  <c r="V102" i="1"/>
  <c r="V42" i="1"/>
  <c r="V101" i="1"/>
  <c r="V100" i="1"/>
  <c r="V46" i="1"/>
  <c r="V12" i="1"/>
  <c r="V22" i="1"/>
  <c r="V27" i="1"/>
  <c r="V99" i="1"/>
  <c r="V98" i="1"/>
  <c r="V15" i="1"/>
  <c r="V97" i="1"/>
  <c r="V63" i="1"/>
  <c r="V96" i="1"/>
  <c r="V69" i="1"/>
  <c r="V95" i="1"/>
  <c r="V94" i="1"/>
  <c r="V93" i="1"/>
  <c r="V92" i="1"/>
  <c r="V91" i="1"/>
  <c r="V90" i="1"/>
  <c r="V89" i="1"/>
  <c r="V59" i="1"/>
  <c r="V72" i="1"/>
  <c r="V75" i="1"/>
  <c r="V62" i="1"/>
  <c r="V88" i="1"/>
  <c r="V87" i="1"/>
  <c r="V86" i="1"/>
  <c r="V85" i="1"/>
  <c r="V84" i="1"/>
  <c r="V83" i="1"/>
  <c r="V82" i="1"/>
  <c r="V81" i="1"/>
  <c r="V8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65" i="1"/>
  <c r="N73" i="1"/>
  <c r="N48" i="1"/>
  <c r="N11" i="1"/>
  <c r="N6" i="1"/>
  <c r="N23" i="1"/>
  <c r="N13" i="1"/>
  <c r="N14" i="1"/>
  <c r="N8" i="1"/>
  <c r="N7" i="1"/>
  <c r="N68" i="1"/>
  <c r="N79" i="1"/>
  <c r="N164" i="1"/>
  <c r="N163" i="1"/>
  <c r="N162" i="1"/>
  <c r="N36" i="1"/>
  <c r="N32" i="1"/>
  <c r="N161" i="1"/>
  <c r="N160" i="1"/>
  <c r="N159" i="1"/>
  <c r="N158" i="1"/>
  <c r="N157" i="1"/>
  <c r="N156" i="1"/>
  <c r="N28" i="1"/>
  <c r="N74" i="1"/>
  <c r="N34" i="1"/>
  <c r="N57" i="1"/>
  <c r="N155" i="1"/>
  <c r="N154" i="1"/>
  <c r="N78" i="1"/>
  <c r="N153" i="1"/>
  <c r="N152" i="1"/>
  <c r="N151" i="1"/>
  <c r="N150" i="1"/>
  <c r="N149" i="1"/>
  <c r="N148" i="1"/>
  <c r="N33" i="1"/>
  <c r="N16" i="1"/>
  <c r="N147" i="1"/>
  <c r="N49" i="1"/>
  <c r="N146" i="1"/>
  <c r="N24" i="1"/>
  <c r="N145" i="1"/>
  <c r="N35" i="1"/>
  <c r="N43" i="1"/>
  <c r="N50" i="1"/>
  <c r="N144" i="1"/>
  <c r="N51" i="1"/>
  <c r="N38" i="1"/>
  <c r="N71" i="1"/>
  <c r="N37" i="1"/>
  <c r="N44" i="1"/>
  <c r="N39" i="1"/>
  <c r="N45" i="1"/>
  <c r="N143" i="1"/>
  <c r="N142" i="1"/>
  <c r="N141" i="1"/>
  <c r="N140" i="1"/>
  <c r="N139" i="1"/>
  <c r="N30" i="1"/>
  <c r="N138" i="1"/>
  <c r="N20" i="1"/>
  <c r="N18" i="1"/>
  <c r="N61" i="1"/>
  <c r="N77" i="1"/>
  <c r="N60" i="1"/>
  <c r="N137" i="1"/>
  <c r="N136" i="1"/>
  <c r="N135" i="1"/>
  <c r="N53" i="1"/>
  <c r="N58" i="1"/>
  <c r="N134" i="1"/>
  <c r="N133" i="1"/>
  <c r="N132" i="1"/>
  <c r="N131" i="1"/>
  <c r="N40" i="1"/>
  <c r="N130" i="1"/>
  <c r="N129" i="1"/>
  <c r="N128" i="1"/>
  <c r="N55" i="1"/>
  <c r="N25" i="1"/>
  <c r="N17" i="1"/>
  <c r="N21" i="1"/>
  <c r="N26" i="1"/>
  <c r="N127" i="1"/>
  <c r="N126" i="1"/>
  <c r="N19" i="1"/>
  <c r="N31" i="1"/>
  <c r="N9" i="1"/>
  <c r="N125" i="1"/>
  <c r="N124" i="1"/>
  <c r="N123" i="1"/>
  <c r="N122" i="1"/>
  <c r="N121" i="1"/>
  <c r="N120" i="1"/>
  <c r="N29" i="1"/>
  <c r="N119" i="1"/>
  <c r="N66" i="1"/>
  <c r="N118" i="1"/>
  <c r="N117" i="1"/>
  <c r="N64" i="1"/>
  <c r="N116" i="1"/>
  <c r="N115" i="1"/>
  <c r="N114" i="1"/>
  <c r="N52" i="1"/>
  <c r="N41" i="1"/>
  <c r="N54" i="1"/>
  <c r="N47" i="1"/>
  <c r="N113" i="1"/>
  <c r="N10" i="1"/>
  <c r="N112" i="1"/>
  <c r="N76" i="1"/>
  <c r="N111" i="1"/>
  <c r="N110" i="1"/>
  <c r="N109" i="1"/>
  <c r="N70" i="1"/>
  <c r="N108" i="1"/>
  <c r="N107" i="1"/>
  <c r="N56" i="1"/>
  <c r="N106" i="1"/>
  <c r="N105" i="1"/>
  <c r="N104" i="1"/>
  <c r="N67" i="1"/>
  <c r="N103" i="1"/>
  <c r="N102" i="1"/>
  <c r="N42" i="1"/>
  <c r="N101" i="1"/>
  <c r="N100" i="1"/>
  <c r="N46" i="1"/>
  <c r="N12" i="1"/>
  <c r="N22" i="1"/>
  <c r="N27" i="1"/>
  <c r="N99" i="1"/>
  <c r="N98" i="1"/>
  <c r="N15" i="1"/>
  <c r="N97" i="1"/>
  <c r="N63" i="1"/>
  <c r="N96" i="1"/>
  <c r="N69" i="1"/>
  <c r="N95" i="1"/>
  <c r="N94" i="1"/>
  <c r="N93" i="1"/>
  <c r="N92" i="1"/>
  <c r="N91" i="1"/>
  <c r="N90" i="1"/>
  <c r="N89" i="1"/>
  <c r="N59" i="1"/>
  <c r="N72" i="1"/>
  <c r="N75" i="1"/>
  <c r="N62" i="1"/>
  <c r="N88" i="1"/>
  <c r="N87" i="1"/>
  <c r="N86" i="1"/>
  <c r="N85" i="1"/>
  <c r="N84" i="1"/>
  <c r="N83" i="1"/>
  <c r="N82" i="1"/>
  <c r="N81" i="1"/>
  <c r="N80" i="1"/>
  <c r="W3" i="1" l="1"/>
  <c r="W4" i="1" s="1"/>
  <c r="P2" i="27" l="1"/>
  <c r="AX4" i="1" l="1"/>
  <c r="AW52" i="1"/>
  <c r="AV52" i="1"/>
  <c r="AU52" i="1"/>
  <c r="AT52" i="1"/>
  <c r="Z52" i="1"/>
  <c r="R52" i="1"/>
  <c r="AW41" i="1"/>
  <c r="AV41" i="1"/>
  <c r="AU41" i="1"/>
  <c r="AT41" i="1"/>
  <c r="Z41" i="1"/>
  <c r="AP41" i="1"/>
  <c r="AW54" i="1"/>
  <c r="AV54" i="1"/>
  <c r="AU54" i="1"/>
  <c r="AT54" i="1"/>
  <c r="Z54" i="1"/>
  <c r="R54" i="1"/>
  <c r="AW47" i="1"/>
  <c r="AV47" i="1"/>
  <c r="AU47" i="1"/>
  <c r="AT47" i="1"/>
  <c r="Z47" i="1"/>
  <c r="AP47" i="1"/>
  <c r="AW113" i="1"/>
  <c r="AV113" i="1"/>
  <c r="AU113" i="1"/>
  <c r="AT113" i="1"/>
  <c r="Z113" i="1"/>
  <c r="R113" i="1"/>
  <c r="AW10" i="1"/>
  <c r="AV10" i="1"/>
  <c r="AU10" i="1"/>
  <c r="AT10" i="1"/>
  <c r="Z10" i="1"/>
  <c r="AP10" i="1"/>
  <c r="Z102" i="1"/>
  <c r="R102" i="1"/>
  <c r="AT102" i="1"/>
  <c r="AU102" i="1"/>
  <c r="AV102" i="1"/>
  <c r="AW102" i="1"/>
  <c r="AW112" i="1"/>
  <c r="AV112" i="1"/>
  <c r="AU112" i="1"/>
  <c r="AT112" i="1"/>
  <c r="Z112" i="1"/>
  <c r="AQ112" i="1"/>
  <c r="AW76" i="1"/>
  <c r="AV76" i="1"/>
  <c r="AU76" i="1"/>
  <c r="AT76" i="1"/>
  <c r="Z76" i="1"/>
  <c r="AP76" i="1"/>
  <c r="AW111" i="1"/>
  <c r="AV111" i="1"/>
  <c r="AU111" i="1"/>
  <c r="AT111" i="1"/>
  <c r="Z111" i="1"/>
  <c r="AQ111" i="1"/>
  <c r="AW110" i="1"/>
  <c r="AV110" i="1"/>
  <c r="AU110" i="1"/>
  <c r="AT110" i="1"/>
  <c r="Z110" i="1"/>
  <c r="AP110" i="1"/>
  <c r="AW109" i="1"/>
  <c r="AV109" i="1"/>
  <c r="AU109" i="1"/>
  <c r="AT109" i="1"/>
  <c r="Z109" i="1"/>
  <c r="AQ109" i="1"/>
  <c r="AW70" i="1"/>
  <c r="AV70" i="1"/>
  <c r="AU70" i="1"/>
  <c r="AT70" i="1"/>
  <c r="Z70" i="1"/>
  <c r="AP70" i="1"/>
  <c r="AW108" i="1"/>
  <c r="AV108" i="1"/>
  <c r="AU108" i="1"/>
  <c r="AT108" i="1"/>
  <c r="Z108" i="1"/>
  <c r="AQ108" i="1"/>
  <c r="AW107" i="1"/>
  <c r="AV107" i="1"/>
  <c r="AU107" i="1"/>
  <c r="AT107" i="1"/>
  <c r="Z107" i="1"/>
  <c r="AP107" i="1"/>
  <c r="AW56" i="1"/>
  <c r="AV56" i="1"/>
  <c r="AU56" i="1"/>
  <c r="AT56" i="1"/>
  <c r="Z56" i="1"/>
  <c r="R56" i="1"/>
  <c r="AW106" i="1"/>
  <c r="AV106" i="1"/>
  <c r="AU106" i="1"/>
  <c r="AT106" i="1"/>
  <c r="Z106" i="1"/>
  <c r="AP106" i="1"/>
  <c r="AW105" i="1"/>
  <c r="AV105" i="1"/>
  <c r="AU105" i="1"/>
  <c r="AT105" i="1"/>
  <c r="Z105" i="1"/>
  <c r="R105" i="1"/>
  <c r="AW104" i="1"/>
  <c r="AV104" i="1"/>
  <c r="AU104" i="1"/>
  <c r="AT104" i="1"/>
  <c r="Z104" i="1"/>
  <c r="AP104" i="1"/>
  <c r="AY47" i="1" l="1"/>
  <c r="AY108" i="1"/>
  <c r="AY110" i="1"/>
  <c r="AY105" i="1"/>
  <c r="AY10" i="1"/>
  <c r="AY41" i="1"/>
  <c r="AY104" i="1"/>
  <c r="R47" i="1"/>
  <c r="AO54" i="1"/>
  <c r="AR54" i="1" s="1"/>
  <c r="AP54" i="1"/>
  <c r="AO113" i="1"/>
  <c r="AR113" i="1" s="1"/>
  <c r="AP52" i="1"/>
  <c r="AP113" i="1"/>
  <c r="AO52" i="1"/>
  <c r="AR52" i="1" s="1"/>
  <c r="AQ10" i="1"/>
  <c r="AQ47" i="1"/>
  <c r="AQ41" i="1"/>
  <c r="R41" i="1"/>
  <c r="R10" i="1"/>
  <c r="AO10" i="1"/>
  <c r="AR10" i="1" s="1"/>
  <c r="AQ113" i="1"/>
  <c r="AO47" i="1"/>
  <c r="AR47" i="1" s="1"/>
  <c r="AQ54" i="1"/>
  <c r="AO41" i="1"/>
  <c r="AR41" i="1" s="1"/>
  <c r="AQ52" i="1"/>
  <c r="AO102" i="1"/>
  <c r="AR102" i="1" s="1"/>
  <c r="R112" i="1"/>
  <c r="AO112" i="1"/>
  <c r="AR112" i="1" s="1"/>
  <c r="AO56" i="1"/>
  <c r="AR56" i="1" s="1"/>
  <c r="AP112" i="1"/>
  <c r="AP102" i="1"/>
  <c r="AQ102" i="1"/>
  <c r="R108" i="1"/>
  <c r="AO108" i="1"/>
  <c r="AR108" i="1" s="1"/>
  <c r="AP109" i="1"/>
  <c r="AO105" i="1"/>
  <c r="AR105" i="1" s="1"/>
  <c r="R109" i="1"/>
  <c r="AO109" i="1"/>
  <c r="AR109" i="1" s="1"/>
  <c r="R111" i="1"/>
  <c r="AO111" i="1"/>
  <c r="AR111" i="1" s="1"/>
  <c r="AQ107" i="1"/>
  <c r="AQ110" i="1"/>
  <c r="R104" i="1"/>
  <c r="AP105" i="1"/>
  <c r="R106" i="1"/>
  <c r="AP56" i="1"/>
  <c r="R107" i="1"/>
  <c r="AP108" i="1"/>
  <c r="R70" i="1"/>
  <c r="R110" i="1"/>
  <c r="AP111" i="1"/>
  <c r="R76" i="1"/>
  <c r="AQ104" i="1"/>
  <c r="AQ106" i="1"/>
  <c r="AQ70" i="1"/>
  <c r="AQ76" i="1"/>
  <c r="AO104" i="1"/>
  <c r="AR104" i="1" s="1"/>
  <c r="AQ105" i="1"/>
  <c r="AO106" i="1"/>
  <c r="AR106" i="1" s="1"/>
  <c r="AQ56" i="1"/>
  <c r="AO107" i="1"/>
  <c r="AR107" i="1" s="1"/>
  <c r="AO70" i="1"/>
  <c r="AR70" i="1" s="1"/>
  <c r="AO110" i="1"/>
  <c r="AR110" i="1" s="1"/>
  <c r="AO76" i="1"/>
  <c r="AR76" i="1" s="1"/>
  <c r="I2" i="1"/>
  <c r="A3" i="26" l="1"/>
  <c r="A1" i="26"/>
  <c r="H15" i="23" l="1"/>
  <c r="H16" i="23"/>
  <c r="H17" i="23"/>
  <c r="H29" i="23"/>
  <c r="H28" i="23"/>
  <c r="H27" i="23"/>
  <c r="H26" i="23"/>
  <c r="H25" i="23"/>
  <c r="H23" i="23"/>
  <c r="H22" i="23"/>
  <c r="H21" i="23"/>
  <c r="H20" i="23"/>
  <c r="H18" i="23"/>
  <c r="H14" i="23"/>
  <c r="H13" i="23"/>
  <c r="H30" i="23" l="1"/>
  <c r="AT92" i="1" l="1"/>
  <c r="AU92" i="1"/>
  <c r="AV92" i="1"/>
  <c r="AW92" i="1"/>
  <c r="AT82" i="1"/>
  <c r="AU82" i="1"/>
  <c r="AV82" i="1"/>
  <c r="AW82" i="1"/>
  <c r="AT80" i="1"/>
  <c r="AU80" i="1"/>
  <c r="AV80" i="1"/>
  <c r="AW80" i="1"/>
  <c r="AT84" i="1"/>
  <c r="AU84" i="1"/>
  <c r="AV84" i="1"/>
  <c r="AW84" i="1"/>
  <c r="AT85" i="1"/>
  <c r="AU85" i="1"/>
  <c r="AV85" i="1"/>
  <c r="AW85" i="1"/>
  <c r="AT86" i="1"/>
  <c r="AU86" i="1"/>
  <c r="AV86" i="1"/>
  <c r="AW86" i="1"/>
  <c r="AT87" i="1"/>
  <c r="AU87" i="1"/>
  <c r="AV87" i="1"/>
  <c r="AW87" i="1"/>
  <c r="AT88" i="1"/>
  <c r="AU88" i="1"/>
  <c r="AV88" i="1"/>
  <c r="AW88" i="1"/>
  <c r="AT62" i="1"/>
  <c r="AU62" i="1"/>
  <c r="AV62" i="1"/>
  <c r="AT75" i="1"/>
  <c r="AU75" i="1"/>
  <c r="AW75" i="1"/>
  <c r="AT72" i="1"/>
  <c r="AU72" i="1"/>
  <c r="AV72" i="1"/>
  <c r="AW72" i="1"/>
  <c r="AT59" i="1"/>
  <c r="AU59" i="1"/>
  <c r="AV59" i="1"/>
  <c r="AW59" i="1"/>
  <c r="AT89" i="1"/>
  <c r="AU89" i="1"/>
  <c r="AV89" i="1"/>
  <c r="AW89" i="1"/>
  <c r="AT83" i="1"/>
  <c r="AU83" i="1"/>
  <c r="AV83" i="1"/>
  <c r="AW83" i="1"/>
  <c r="AT91" i="1"/>
  <c r="AU91" i="1"/>
  <c r="AV91" i="1"/>
  <c r="AW91" i="1"/>
  <c r="AT81" i="1"/>
  <c r="AU81" i="1"/>
  <c r="AV81" i="1"/>
  <c r="AW81" i="1"/>
  <c r="AT93" i="1"/>
  <c r="AU93" i="1"/>
  <c r="AV93" i="1"/>
  <c r="AW93" i="1"/>
  <c r="AT94" i="1"/>
  <c r="AU94" i="1"/>
  <c r="AV94" i="1"/>
  <c r="AW94" i="1"/>
  <c r="AT95" i="1"/>
  <c r="AU95" i="1"/>
  <c r="AV95" i="1"/>
  <c r="AW95" i="1"/>
  <c r="AT69" i="1"/>
  <c r="AU69" i="1"/>
  <c r="AV69" i="1"/>
  <c r="AW69" i="1"/>
  <c r="AT96" i="1"/>
  <c r="AU96" i="1"/>
  <c r="AV96" i="1"/>
  <c r="AW96" i="1"/>
  <c r="AT63" i="1"/>
  <c r="AU63" i="1"/>
  <c r="AV63" i="1"/>
  <c r="AW63" i="1"/>
  <c r="AT97" i="1"/>
  <c r="AU97" i="1"/>
  <c r="AV97" i="1"/>
  <c r="AT15" i="1"/>
  <c r="AU15" i="1"/>
  <c r="AV15" i="1"/>
  <c r="AW15" i="1"/>
  <c r="AT98" i="1"/>
  <c r="AU98" i="1"/>
  <c r="AV98" i="1"/>
  <c r="AW98" i="1"/>
  <c r="AT99" i="1"/>
  <c r="AU99" i="1"/>
  <c r="AV99" i="1"/>
  <c r="AW99" i="1"/>
  <c r="AT27" i="1"/>
  <c r="AU27" i="1"/>
  <c r="AV27" i="1"/>
  <c r="AW27" i="1"/>
  <c r="AT22" i="1"/>
  <c r="AU22" i="1"/>
  <c r="AV22" i="1"/>
  <c r="AW22" i="1"/>
  <c r="AT12" i="1"/>
  <c r="AU12" i="1"/>
  <c r="AV12" i="1"/>
  <c r="AW12" i="1"/>
  <c r="AT46" i="1"/>
  <c r="AU46" i="1"/>
  <c r="AV46" i="1"/>
  <c r="AT100" i="1"/>
  <c r="AU100" i="1"/>
  <c r="AV100" i="1"/>
  <c r="AW100" i="1"/>
  <c r="AT101" i="1"/>
  <c r="AU101" i="1"/>
  <c r="AV101" i="1"/>
  <c r="AW101" i="1"/>
  <c r="AT42" i="1"/>
  <c r="AU42" i="1"/>
  <c r="AV42" i="1"/>
  <c r="AT103" i="1"/>
  <c r="AU103" i="1"/>
  <c r="AV103" i="1"/>
  <c r="AW103" i="1"/>
  <c r="AT67" i="1"/>
  <c r="AU67" i="1"/>
  <c r="AV67" i="1"/>
  <c r="AW67" i="1"/>
  <c r="AT114" i="1"/>
  <c r="AU114" i="1"/>
  <c r="AV114" i="1"/>
  <c r="AW114" i="1"/>
  <c r="AT115" i="1"/>
  <c r="AU115" i="1"/>
  <c r="AV115" i="1"/>
  <c r="AW115" i="1"/>
  <c r="AT116" i="1"/>
  <c r="AU116" i="1"/>
  <c r="AV116" i="1"/>
  <c r="AW116" i="1"/>
  <c r="AT64" i="1"/>
  <c r="AU64" i="1"/>
  <c r="AV64" i="1"/>
  <c r="AW64" i="1"/>
  <c r="AT117" i="1"/>
  <c r="AU117" i="1"/>
  <c r="AV117" i="1"/>
  <c r="AW117" i="1"/>
  <c r="AT118" i="1"/>
  <c r="AU118" i="1"/>
  <c r="AV118" i="1"/>
  <c r="AW118" i="1"/>
  <c r="AT66" i="1"/>
  <c r="AU66" i="1"/>
  <c r="AV66" i="1"/>
  <c r="AW66" i="1"/>
  <c r="AT119" i="1"/>
  <c r="AU119" i="1"/>
  <c r="AV119" i="1"/>
  <c r="AW119" i="1"/>
  <c r="AT29" i="1"/>
  <c r="AU29" i="1"/>
  <c r="AV29" i="1"/>
  <c r="AW29" i="1"/>
  <c r="AT120" i="1"/>
  <c r="AU120" i="1"/>
  <c r="AV120" i="1"/>
  <c r="AW120" i="1"/>
  <c r="AT121" i="1"/>
  <c r="AU121" i="1"/>
  <c r="AV121" i="1"/>
  <c r="AW121" i="1"/>
  <c r="AT122" i="1"/>
  <c r="AU122" i="1"/>
  <c r="AV122" i="1"/>
  <c r="AW122" i="1"/>
  <c r="AT123" i="1"/>
  <c r="AU123" i="1"/>
  <c r="AV123" i="1"/>
  <c r="AW123" i="1"/>
  <c r="AT124" i="1"/>
  <c r="AU124" i="1"/>
  <c r="AV124" i="1"/>
  <c r="AW124" i="1"/>
  <c r="AT125" i="1"/>
  <c r="AU125" i="1"/>
  <c r="AV125" i="1"/>
  <c r="AW125" i="1"/>
  <c r="AT9" i="1"/>
  <c r="AU9" i="1"/>
  <c r="AV9" i="1"/>
  <c r="AW9" i="1"/>
  <c r="AT31" i="1"/>
  <c r="AU31" i="1"/>
  <c r="AV31" i="1"/>
  <c r="AW31" i="1"/>
  <c r="AT19" i="1"/>
  <c r="AU19" i="1"/>
  <c r="AV19" i="1"/>
  <c r="AW19" i="1"/>
  <c r="AT126" i="1"/>
  <c r="AU126" i="1"/>
  <c r="AV126" i="1"/>
  <c r="AW126" i="1"/>
  <c r="AT127" i="1"/>
  <c r="AU127" i="1"/>
  <c r="AV127" i="1"/>
  <c r="AW127" i="1"/>
  <c r="AT26" i="1"/>
  <c r="AU26" i="1"/>
  <c r="AV26" i="1"/>
  <c r="AW26" i="1"/>
  <c r="AT21" i="1"/>
  <c r="AV21" i="1"/>
  <c r="AW21" i="1"/>
  <c r="AT17" i="1"/>
  <c r="AU17" i="1"/>
  <c r="AV17" i="1"/>
  <c r="AW17" i="1"/>
  <c r="AT25" i="1"/>
  <c r="AU25" i="1"/>
  <c r="AV25" i="1"/>
  <c r="AW25" i="1"/>
  <c r="AT55" i="1"/>
  <c r="AU55" i="1"/>
  <c r="AV55" i="1"/>
  <c r="AW55" i="1"/>
  <c r="AT128" i="1"/>
  <c r="AU128" i="1"/>
  <c r="AV128" i="1"/>
  <c r="AW128" i="1"/>
  <c r="AT129" i="1"/>
  <c r="AU129" i="1"/>
  <c r="AV129" i="1"/>
  <c r="AW129" i="1"/>
  <c r="AT130" i="1"/>
  <c r="AU130" i="1"/>
  <c r="AV130" i="1"/>
  <c r="AW130" i="1"/>
  <c r="AT40" i="1"/>
  <c r="AU40" i="1"/>
  <c r="AV40" i="1"/>
  <c r="AW40" i="1"/>
  <c r="AT131" i="1"/>
  <c r="AU131" i="1"/>
  <c r="AV131" i="1"/>
  <c r="AW131" i="1"/>
  <c r="AT132" i="1"/>
  <c r="AU132" i="1"/>
  <c r="AV132" i="1"/>
  <c r="AW132" i="1"/>
  <c r="AT133" i="1"/>
  <c r="AU133" i="1"/>
  <c r="AV133" i="1"/>
  <c r="AW133" i="1"/>
  <c r="AT134" i="1"/>
  <c r="AU134" i="1"/>
  <c r="AV134" i="1"/>
  <c r="AW134" i="1"/>
  <c r="AT58" i="1"/>
  <c r="AU58" i="1"/>
  <c r="AV58" i="1"/>
  <c r="AT53" i="1"/>
  <c r="AU53" i="1"/>
  <c r="AV53" i="1"/>
  <c r="AW53" i="1"/>
  <c r="AT135" i="1"/>
  <c r="AU135" i="1"/>
  <c r="AV135" i="1"/>
  <c r="AW135" i="1"/>
  <c r="AT136" i="1"/>
  <c r="AU136" i="1"/>
  <c r="AV136" i="1"/>
  <c r="AW136" i="1"/>
  <c r="AT137" i="1"/>
  <c r="AU137" i="1"/>
  <c r="AV137" i="1"/>
  <c r="AW137" i="1"/>
  <c r="AT60" i="1"/>
  <c r="AU60" i="1"/>
  <c r="AV60" i="1"/>
  <c r="AW60" i="1"/>
  <c r="AT77" i="1"/>
  <c r="AU77" i="1"/>
  <c r="AV77" i="1"/>
  <c r="AW77" i="1"/>
  <c r="AT61" i="1"/>
  <c r="AU61" i="1"/>
  <c r="AV61" i="1"/>
  <c r="AW61" i="1"/>
  <c r="AT18" i="1"/>
  <c r="AU18" i="1"/>
  <c r="AW18" i="1"/>
  <c r="AT20" i="1"/>
  <c r="AU20" i="1"/>
  <c r="AV20" i="1"/>
  <c r="AW20" i="1"/>
  <c r="AT138" i="1"/>
  <c r="AU138" i="1"/>
  <c r="AV138" i="1"/>
  <c r="AW138" i="1"/>
  <c r="AT30" i="1"/>
  <c r="AU30" i="1"/>
  <c r="AV30" i="1"/>
  <c r="AT139" i="1"/>
  <c r="AU139" i="1"/>
  <c r="AV139" i="1"/>
  <c r="AW139" i="1"/>
  <c r="AT140" i="1"/>
  <c r="AU140" i="1"/>
  <c r="AV140" i="1"/>
  <c r="AW140" i="1"/>
  <c r="AT141" i="1"/>
  <c r="AU141" i="1"/>
  <c r="AV141" i="1"/>
  <c r="AW141" i="1"/>
  <c r="AT142" i="1"/>
  <c r="AU142" i="1"/>
  <c r="AV142" i="1"/>
  <c r="AW142" i="1"/>
  <c r="AT143" i="1"/>
  <c r="AU143" i="1"/>
  <c r="AV143" i="1"/>
  <c r="AW143" i="1"/>
  <c r="AT45" i="1"/>
  <c r="AU45" i="1"/>
  <c r="AV45" i="1"/>
  <c r="AW45" i="1"/>
  <c r="AT39" i="1"/>
  <c r="AU39" i="1"/>
  <c r="AV39" i="1"/>
  <c r="AW39" i="1"/>
  <c r="AT44" i="1"/>
  <c r="AU44" i="1"/>
  <c r="AV44" i="1"/>
  <c r="AW44" i="1"/>
  <c r="AT37" i="1"/>
  <c r="AU37" i="1"/>
  <c r="AV37" i="1"/>
  <c r="AW37" i="1"/>
  <c r="AT71" i="1"/>
  <c r="AU71" i="1"/>
  <c r="AV71" i="1"/>
  <c r="AW71" i="1"/>
  <c r="AT38" i="1"/>
  <c r="AU38" i="1"/>
  <c r="AV38" i="1"/>
  <c r="AW38" i="1"/>
  <c r="AT144" i="1"/>
  <c r="AU144" i="1"/>
  <c r="AV144" i="1"/>
  <c r="AW144" i="1"/>
  <c r="AT50" i="1"/>
  <c r="AU50" i="1"/>
  <c r="AV50" i="1"/>
  <c r="AW50" i="1"/>
  <c r="AT43" i="1"/>
  <c r="AU43" i="1"/>
  <c r="AV43" i="1"/>
  <c r="AW43" i="1"/>
  <c r="AT35" i="1"/>
  <c r="AU35" i="1"/>
  <c r="AV35" i="1"/>
  <c r="AT145" i="1"/>
  <c r="AU145" i="1"/>
  <c r="AW145" i="1"/>
  <c r="AT24" i="1"/>
  <c r="AU24" i="1"/>
  <c r="AV24" i="1"/>
  <c r="AW24" i="1"/>
  <c r="AT146" i="1"/>
  <c r="AU146" i="1"/>
  <c r="AV146" i="1"/>
  <c r="AW146" i="1"/>
  <c r="AT49" i="1"/>
  <c r="AV49" i="1"/>
  <c r="AW49" i="1"/>
  <c r="AT147" i="1"/>
  <c r="AU147" i="1"/>
  <c r="AV147" i="1"/>
  <c r="AW147" i="1"/>
  <c r="AT16" i="1"/>
  <c r="AU16" i="1"/>
  <c r="AV16" i="1"/>
  <c r="AW16" i="1"/>
  <c r="AT33" i="1"/>
  <c r="AU33" i="1"/>
  <c r="AV33" i="1"/>
  <c r="AW33" i="1"/>
  <c r="AT148" i="1"/>
  <c r="AU148" i="1"/>
  <c r="AV148" i="1"/>
  <c r="AW148" i="1"/>
  <c r="AT149" i="1"/>
  <c r="AU149" i="1"/>
  <c r="AV149" i="1"/>
  <c r="AW149" i="1"/>
  <c r="AT150" i="1"/>
  <c r="AU150" i="1"/>
  <c r="AV150" i="1"/>
  <c r="AW150" i="1"/>
  <c r="AT151" i="1"/>
  <c r="AU151" i="1"/>
  <c r="AV151" i="1"/>
  <c r="AW151" i="1"/>
  <c r="AT152" i="1"/>
  <c r="AU152" i="1"/>
  <c r="AV152" i="1"/>
  <c r="AW152" i="1"/>
  <c r="AT153" i="1"/>
  <c r="AU153" i="1"/>
  <c r="AV153" i="1"/>
  <c r="AW153" i="1"/>
  <c r="AT78" i="1"/>
  <c r="AU78" i="1"/>
  <c r="AV78" i="1"/>
  <c r="AW78" i="1"/>
  <c r="AT154" i="1"/>
  <c r="AU154" i="1"/>
  <c r="AV154" i="1"/>
  <c r="AW154" i="1"/>
  <c r="AT155" i="1"/>
  <c r="AU155" i="1"/>
  <c r="AV155" i="1"/>
  <c r="AW155" i="1"/>
  <c r="AT57" i="1"/>
  <c r="AU57" i="1"/>
  <c r="AV57" i="1"/>
  <c r="AW57" i="1"/>
  <c r="AT34" i="1"/>
  <c r="AU34" i="1"/>
  <c r="AV34" i="1"/>
  <c r="AW34" i="1"/>
  <c r="AT74" i="1"/>
  <c r="AU74" i="1"/>
  <c r="AV74" i="1"/>
  <c r="AW74" i="1"/>
  <c r="AT28" i="1"/>
  <c r="AU28" i="1"/>
  <c r="AV28" i="1"/>
  <c r="AW28" i="1"/>
  <c r="AT156" i="1"/>
  <c r="AU156" i="1"/>
  <c r="AV156" i="1"/>
  <c r="AW156" i="1"/>
  <c r="AT157" i="1"/>
  <c r="AU157" i="1"/>
  <c r="AV157" i="1"/>
  <c r="AW157" i="1"/>
  <c r="AT158" i="1"/>
  <c r="AU158" i="1"/>
  <c r="AV158" i="1"/>
  <c r="AW158" i="1"/>
  <c r="AT159" i="1"/>
  <c r="AU159" i="1"/>
  <c r="AV159" i="1"/>
  <c r="AW159" i="1"/>
  <c r="AT160" i="1"/>
  <c r="AU160" i="1"/>
  <c r="AV160" i="1"/>
  <c r="AW160" i="1"/>
  <c r="AT161" i="1"/>
  <c r="AU161" i="1"/>
  <c r="AV161" i="1"/>
  <c r="AW161" i="1"/>
  <c r="AT32" i="1"/>
  <c r="AU32" i="1"/>
  <c r="AV32" i="1"/>
  <c r="AW32" i="1"/>
  <c r="AT36" i="1"/>
  <c r="AU36" i="1"/>
  <c r="AV36" i="1"/>
  <c r="AW36" i="1"/>
  <c r="AT162" i="1"/>
  <c r="AU162" i="1"/>
  <c r="AV162" i="1"/>
  <c r="AW162" i="1"/>
  <c r="AT163" i="1"/>
  <c r="AU163" i="1"/>
  <c r="AV163" i="1"/>
  <c r="AW163" i="1"/>
  <c r="AT164" i="1"/>
  <c r="AU164" i="1"/>
  <c r="AV164" i="1"/>
  <c r="AW164" i="1"/>
  <c r="AT79" i="1"/>
  <c r="AU79" i="1"/>
  <c r="AV79" i="1"/>
  <c r="AW79" i="1"/>
  <c r="AT68" i="1"/>
  <c r="AU68" i="1"/>
  <c r="AV68" i="1"/>
  <c r="AW68" i="1"/>
  <c r="AT7" i="1"/>
  <c r="AU7" i="1"/>
  <c r="AV7" i="1"/>
  <c r="AW7" i="1"/>
  <c r="AT8" i="1"/>
  <c r="AU8" i="1"/>
  <c r="AV8" i="1"/>
  <c r="AW8" i="1"/>
  <c r="AT14" i="1"/>
  <c r="AU14" i="1"/>
  <c r="AV14" i="1"/>
  <c r="AW14" i="1"/>
  <c r="AT13" i="1"/>
  <c r="AU13" i="1"/>
  <c r="AV13" i="1"/>
  <c r="AW13" i="1"/>
  <c r="AT23" i="1"/>
  <c r="AU23" i="1"/>
  <c r="AV23" i="1"/>
  <c r="AW23" i="1"/>
  <c r="AT6" i="1"/>
  <c r="AU6" i="1"/>
  <c r="AV6" i="1"/>
  <c r="AW6" i="1"/>
  <c r="AT11" i="1"/>
  <c r="AU11" i="1"/>
  <c r="AV11" i="1"/>
  <c r="AW11" i="1"/>
  <c r="AT48" i="1"/>
  <c r="AU48" i="1"/>
  <c r="AV48" i="1"/>
  <c r="AW48" i="1"/>
  <c r="AT73" i="1"/>
  <c r="AU73" i="1"/>
  <c r="AV73" i="1"/>
  <c r="AW73" i="1"/>
  <c r="AT65" i="1"/>
  <c r="AU65" i="1"/>
  <c r="AV65" i="1"/>
  <c r="AW65" i="1"/>
  <c r="AT165" i="1"/>
  <c r="AU165" i="1"/>
  <c r="AV165" i="1"/>
  <c r="AW165" i="1"/>
  <c r="AT166" i="1"/>
  <c r="AU166" i="1"/>
  <c r="AV166" i="1"/>
  <c r="AW166" i="1"/>
  <c r="AT167" i="1"/>
  <c r="AU167" i="1"/>
  <c r="AV167" i="1"/>
  <c r="AW167" i="1"/>
  <c r="AT168" i="1"/>
  <c r="AU168" i="1"/>
  <c r="AV168" i="1"/>
  <c r="AW168" i="1"/>
  <c r="AT169" i="1"/>
  <c r="AU169" i="1"/>
  <c r="AV169" i="1"/>
  <c r="AW169" i="1"/>
  <c r="AT170" i="1"/>
  <c r="AU170" i="1"/>
  <c r="AV170" i="1"/>
  <c r="AW170" i="1"/>
  <c r="AT171" i="1"/>
  <c r="AU171" i="1"/>
  <c r="AV171" i="1"/>
  <c r="AW171" i="1"/>
  <c r="AT172" i="1"/>
  <c r="AU172" i="1"/>
  <c r="AV172" i="1"/>
  <c r="AW172" i="1"/>
  <c r="AT173" i="1"/>
  <c r="AU173" i="1"/>
  <c r="AV173" i="1"/>
  <c r="AW173" i="1"/>
  <c r="AT174" i="1"/>
  <c r="AU174" i="1"/>
  <c r="AV174" i="1"/>
  <c r="AW174" i="1"/>
  <c r="AT175" i="1"/>
  <c r="AU175" i="1"/>
  <c r="AV175" i="1"/>
  <c r="AW175" i="1"/>
  <c r="AT176" i="1"/>
  <c r="AU176" i="1"/>
  <c r="AV176" i="1"/>
  <c r="AW176" i="1"/>
  <c r="AT177" i="1"/>
  <c r="AU177" i="1"/>
  <c r="AV177" i="1"/>
  <c r="AW177" i="1"/>
  <c r="AT178" i="1"/>
  <c r="AU178" i="1"/>
  <c r="AV178" i="1"/>
  <c r="AW178" i="1"/>
  <c r="AT179" i="1"/>
  <c r="AU179" i="1"/>
  <c r="AV179" i="1"/>
  <c r="AW179" i="1"/>
  <c r="AT180" i="1"/>
  <c r="AU180" i="1"/>
  <c r="AV180" i="1"/>
  <c r="AW180" i="1"/>
  <c r="AT181" i="1"/>
  <c r="AU181" i="1"/>
  <c r="AV181" i="1"/>
  <c r="AW181" i="1"/>
  <c r="AT182" i="1"/>
  <c r="AU182" i="1"/>
  <c r="AV182" i="1"/>
  <c r="AW182" i="1"/>
  <c r="AT183" i="1"/>
  <c r="AU183" i="1"/>
  <c r="AV183" i="1"/>
  <c r="AW183" i="1"/>
  <c r="AT184" i="1"/>
  <c r="AU184" i="1"/>
  <c r="AV184" i="1"/>
  <c r="AW184" i="1"/>
  <c r="AT185" i="1"/>
  <c r="AU185" i="1"/>
  <c r="AV185" i="1"/>
  <c r="AW185" i="1"/>
  <c r="AT186" i="1"/>
  <c r="AU186" i="1"/>
  <c r="AV186" i="1"/>
  <c r="AW186" i="1"/>
  <c r="AT187" i="1"/>
  <c r="AU187" i="1"/>
  <c r="AV187" i="1"/>
  <c r="AW187" i="1"/>
  <c r="AT188" i="1"/>
  <c r="AU188" i="1"/>
  <c r="AV188" i="1"/>
  <c r="AW188" i="1"/>
  <c r="AT189" i="1"/>
  <c r="AU189" i="1"/>
  <c r="AV189" i="1"/>
  <c r="AW189" i="1"/>
  <c r="AT190" i="1"/>
  <c r="AU190" i="1"/>
  <c r="AV190" i="1"/>
  <c r="AW190" i="1"/>
  <c r="AT191" i="1"/>
  <c r="AU191" i="1"/>
  <c r="AV191" i="1"/>
  <c r="AW191" i="1"/>
  <c r="AT192" i="1"/>
  <c r="AU192" i="1"/>
  <c r="AV192" i="1"/>
  <c r="AW192" i="1"/>
  <c r="AT193" i="1"/>
  <c r="AU193" i="1"/>
  <c r="AV193" i="1"/>
  <c r="AW193" i="1"/>
  <c r="AT194" i="1"/>
  <c r="AU194" i="1"/>
  <c r="AV194" i="1"/>
  <c r="AW194" i="1"/>
  <c r="AT195" i="1"/>
  <c r="AU195" i="1"/>
  <c r="AV195" i="1"/>
  <c r="AW195" i="1"/>
  <c r="AT196" i="1"/>
  <c r="AU196" i="1"/>
  <c r="AV196" i="1"/>
  <c r="AW196" i="1"/>
  <c r="AT197" i="1"/>
  <c r="AU197" i="1"/>
  <c r="AV197" i="1"/>
  <c r="AW197" i="1"/>
  <c r="AT198" i="1"/>
  <c r="AU198" i="1"/>
  <c r="AV198" i="1"/>
  <c r="AW198" i="1"/>
  <c r="AT199" i="1"/>
  <c r="AU199" i="1"/>
  <c r="AV199" i="1"/>
  <c r="AW199" i="1"/>
  <c r="AW90" i="1"/>
  <c r="AV90" i="1"/>
  <c r="AU90" i="1"/>
  <c r="AT90" i="1"/>
  <c r="AY77" i="1" l="1"/>
  <c r="AY120" i="1"/>
  <c r="AY115" i="1"/>
  <c r="AY88" i="1"/>
  <c r="AY145" i="1"/>
  <c r="AY58" i="1"/>
  <c r="AY55" i="1"/>
  <c r="AY46" i="1"/>
  <c r="AY51" i="1"/>
  <c r="AY71" i="1"/>
  <c r="AY37" i="1"/>
  <c r="AY39" i="1"/>
  <c r="AV4" i="1"/>
  <c r="AY197" i="1"/>
  <c r="AY193" i="1"/>
  <c r="AY183" i="1"/>
  <c r="AY180" i="1"/>
  <c r="AY177" i="1"/>
  <c r="AY198" i="1"/>
  <c r="AY195" i="1"/>
  <c r="AY192" i="1"/>
  <c r="AY190" i="1"/>
  <c r="AY188" i="1"/>
  <c r="AY186" i="1"/>
  <c r="AY184" i="1"/>
  <c r="AY181" i="1"/>
  <c r="AY178" i="1"/>
  <c r="AY174" i="1"/>
  <c r="AY199" i="1"/>
  <c r="AY196" i="1"/>
  <c r="AY194" i="1"/>
  <c r="AY191" i="1"/>
  <c r="AY189" i="1"/>
  <c r="AY187" i="1"/>
  <c r="AY185" i="1"/>
  <c r="AY182" i="1"/>
  <c r="AY179" i="1"/>
  <c r="AY176" i="1"/>
  <c r="AY175" i="1"/>
  <c r="AY173" i="1"/>
  <c r="AY172" i="1"/>
  <c r="AY171" i="1"/>
  <c r="AY170" i="1"/>
  <c r="AY169" i="1"/>
  <c r="AY168" i="1"/>
  <c r="AY167" i="1"/>
  <c r="AY166" i="1"/>
  <c r="AY165" i="1"/>
  <c r="AY65" i="1"/>
  <c r="AY73" i="1"/>
  <c r="AY48" i="1"/>
  <c r="AY11" i="1"/>
  <c r="AY6" i="1"/>
  <c r="AY23" i="1"/>
  <c r="AY13" i="1"/>
  <c r="AY14" i="1"/>
  <c r="AY8" i="1"/>
  <c r="AY7" i="1"/>
  <c r="AY68" i="1"/>
  <c r="AY79" i="1"/>
  <c r="AY164" i="1"/>
  <c r="AY163" i="1"/>
  <c r="AY162" i="1"/>
  <c r="AY36" i="1"/>
  <c r="AY32" i="1"/>
  <c r="AY161" i="1"/>
  <c r="AY160" i="1"/>
  <c r="AY159" i="1"/>
  <c r="AY158" i="1"/>
  <c r="AY157" i="1"/>
  <c r="AY156" i="1"/>
  <c r="AY28" i="1"/>
  <c r="AY74" i="1"/>
  <c r="AY34" i="1"/>
  <c r="AY57" i="1"/>
  <c r="AY155" i="1"/>
  <c r="AY154" i="1"/>
  <c r="AY78" i="1"/>
  <c r="AY153" i="1"/>
  <c r="AY152" i="1"/>
  <c r="AY151" i="1"/>
  <c r="AY150" i="1"/>
  <c r="AY149" i="1"/>
  <c r="AY148" i="1"/>
  <c r="AY107" i="1"/>
  <c r="AY16" i="1"/>
  <c r="AY45" i="1"/>
  <c r="AY44" i="1"/>
  <c r="AY146" i="1"/>
  <c r="AY24" i="1"/>
  <c r="AY136" i="1"/>
  <c r="AY35" i="1"/>
  <c r="AY130" i="1"/>
  <c r="AY38" i="1"/>
  <c r="AY133" i="1"/>
  <c r="AY54" i="1"/>
  <c r="AY126" i="1"/>
  <c r="AY49" i="1"/>
  <c r="AY101" i="1"/>
  <c r="AY42" i="1"/>
  <c r="AY40" i="1"/>
  <c r="AY128" i="1"/>
  <c r="AY113" i="1"/>
  <c r="AY142" i="1"/>
  <c r="AY141" i="1"/>
  <c r="AY140" i="1"/>
  <c r="AY139" i="1"/>
  <c r="AY30" i="1"/>
  <c r="AY138" i="1"/>
  <c r="AY20" i="1"/>
  <c r="AY18" i="1"/>
  <c r="AY60" i="1"/>
  <c r="AY114" i="1"/>
  <c r="AY70" i="1"/>
  <c r="AY81" i="1"/>
  <c r="AY33" i="1"/>
  <c r="AY135" i="1"/>
  <c r="AY129" i="1"/>
  <c r="AY62" i="1"/>
  <c r="AY134" i="1"/>
  <c r="AY144" i="1"/>
  <c r="AY56" i="1"/>
  <c r="AY131" i="1"/>
  <c r="AY100" i="1"/>
  <c r="AY102" i="1"/>
  <c r="AY53" i="1"/>
  <c r="AY52" i="1"/>
  <c r="AY147" i="1"/>
  <c r="AY25" i="1"/>
  <c r="AY17" i="1"/>
  <c r="AY21" i="1"/>
  <c r="AY106" i="1"/>
  <c r="AY127" i="1"/>
  <c r="AY26" i="1"/>
  <c r="AY19" i="1"/>
  <c r="AY31" i="1"/>
  <c r="AY9" i="1"/>
  <c r="AY125" i="1"/>
  <c r="AY61" i="1"/>
  <c r="AY137" i="1"/>
  <c r="AY89" i="1"/>
  <c r="AY85" i="1"/>
  <c r="AY64" i="1"/>
  <c r="AY121" i="1"/>
  <c r="AY72" i="1"/>
  <c r="AY93" i="1"/>
  <c r="AY94" i="1"/>
  <c r="AY82" i="1"/>
  <c r="AY84" i="1"/>
  <c r="AY96" i="1"/>
  <c r="AY80" i="1"/>
  <c r="AY119" i="1"/>
  <c r="AY111" i="1"/>
  <c r="AY124" i="1"/>
  <c r="AY50" i="1"/>
  <c r="AY43" i="1"/>
  <c r="AY122" i="1"/>
  <c r="AY132" i="1"/>
  <c r="AY12" i="1"/>
  <c r="AY22" i="1"/>
  <c r="AY27" i="1"/>
  <c r="AY99" i="1"/>
  <c r="AY98" i="1"/>
  <c r="AY15" i="1"/>
  <c r="AY97" i="1"/>
  <c r="AY83" i="1"/>
  <c r="AY91" i="1"/>
  <c r="AY112" i="1"/>
  <c r="AY123" i="1"/>
  <c r="AY67" i="1"/>
  <c r="AY109" i="1"/>
  <c r="AY59" i="1"/>
  <c r="AY75" i="1"/>
  <c r="AY69" i="1"/>
  <c r="AY63" i="1"/>
  <c r="AY66" i="1"/>
  <c r="AY92" i="1"/>
  <c r="AY117" i="1"/>
  <c r="AY103" i="1"/>
  <c r="AY95" i="1"/>
  <c r="AY29" i="1"/>
  <c r="AY90" i="1"/>
  <c r="AY86" i="1"/>
  <c r="AY116" i="1"/>
  <c r="AY87" i="1"/>
  <c r="AY118" i="1"/>
  <c r="AY76" i="1"/>
  <c r="AY143" i="1"/>
  <c r="AT4" i="1"/>
  <c r="Z21" i="1"/>
  <c r="AQ21" i="1"/>
  <c r="Z26" i="1"/>
  <c r="AQ26" i="1"/>
  <c r="Z127" i="1"/>
  <c r="AP127" i="1"/>
  <c r="Z126" i="1"/>
  <c r="AQ126" i="1"/>
  <c r="Z19" i="1"/>
  <c r="AP19" i="1"/>
  <c r="Z31" i="1"/>
  <c r="AQ31" i="1"/>
  <c r="Z9" i="1"/>
  <c r="AQ9" i="1"/>
  <c r="Z125" i="1"/>
  <c r="AQ125" i="1"/>
  <c r="Z124" i="1"/>
  <c r="AP124" i="1"/>
  <c r="Z123" i="1"/>
  <c r="AQ123" i="1"/>
  <c r="Z122" i="1"/>
  <c r="AQ122" i="1"/>
  <c r="Z121" i="1"/>
  <c r="AQ121" i="1"/>
  <c r="Z120" i="1"/>
  <c r="AP120" i="1"/>
  <c r="Z29" i="1"/>
  <c r="AQ29" i="1"/>
  <c r="Z119" i="1"/>
  <c r="AQ119" i="1"/>
  <c r="Z66" i="1"/>
  <c r="AQ66" i="1"/>
  <c r="Z118" i="1"/>
  <c r="AP118" i="1"/>
  <c r="Z117" i="1"/>
  <c r="AQ117" i="1"/>
  <c r="Z64" i="1"/>
  <c r="AQ64" i="1"/>
  <c r="Z116" i="1"/>
  <c r="AQ116" i="1"/>
  <c r="Z115" i="1"/>
  <c r="AP115" i="1"/>
  <c r="Z114" i="1"/>
  <c r="AQ114" i="1"/>
  <c r="Z67" i="1"/>
  <c r="AP67" i="1"/>
  <c r="Z103" i="1"/>
  <c r="AQ103" i="1"/>
  <c r="Z42" i="1"/>
  <c r="AQ42" i="1"/>
  <c r="Z101" i="1"/>
  <c r="AQ101" i="1"/>
  <c r="Z100" i="1"/>
  <c r="AP100" i="1"/>
  <c r="Z46" i="1"/>
  <c r="AQ46" i="1"/>
  <c r="Z12" i="1"/>
  <c r="AQ12" i="1"/>
  <c r="Z22" i="1"/>
  <c r="AQ22" i="1"/>
  <c r="Z27" i="1"/>
  <c r="AP27" i="1"/>
  <c r="Z99" i="1"/>
  <c r="AQ99" i="1"/>
  <c r="Z98" i="1"/>
  <c r="AQ98" i="1"/>
  <c r="R101" i="1" l="1"/>
  <c r="R12" i="1"/>
  <c r="AO12" i="1"/>
  <c r="AR12" i="1" s="1"/>
  <c r="R98" i="1"/>
  <c r="AO98" i="1"/>
  <c r="AR98" i="1" s="1"/>
  <c r="R42" i="1"/>
  <c r="AO42" i="1"/>
  <c r="AR42" i="1" s="1"/>
  <c r="R121" i="1"/>
  <c r="R26" i="1"/>
  <c r="AO26" i="1"/>
  <c r="AR26" i="1" s="1"/>
  <c r="R22" i="1"/>
  <c r="R116" i="1"/>
  <c r="AP122" i="1"/>
  <c r="R122" i="1"/>
  <c r="AO122" i="1"/>
  <c r="AR122" i="1" s="1"/>
  <c r="R125" i="1"/>
  <c r="AP123" i="1"/>
  <c r="R127" i="1"/>
  <c r="AO127" i="1"/>
  <c r="AR127" i="1" s="1"/>
  <c r="AP26" i="1"/>
  <c r="AO99" i="1"/>
  <c r="AR99" i="1" s="1"/>
  <c r="AO46" i="1"/>
  <c r="AR46" i="1" s="1"/>
  <c r="AP103" i="1"/>
  <c r="AP9" i="1"/>
  <c r="AP21" i="1"/>
  <c r="AP98" i="1"/>
  <c r="AP99" i="1"/>
  <c r="AP12" i="1"/>
  <c r="AP46" i="1"/>
  <c r="AP42" i="1"/>
  <c r="AP114" i="1"/>
  <c r="AP64" i="1"/>
  <c r="R66" i="1"/>
  <c r="AO123" i="1"/>
  <c r="AR123" i="1" s="1"/>
  <c r="R9" i="1"/>
  <c r="AO9" i="1"/>
  <c r="AR9" i="1" s="1"/>
  <c r="AP31" i="1"/>
  <c r="AO21" i="1"/>
  <c r="AR21" i="1" s="1"/>
  <c r="AO114" i="1"/>
  <c r="AR114" i="1" s="1"/>
  <c r="R64" i="1"/>
  <c r="AO64" i="1"/>
  <c r="AR64" i="1" s="1"/>
  <c r="AP117" i="1"/>
  <c r="AP119" i="1"/>
  <c r="AO31" i="1"/>
  <c r="AR31" i="1" s="1"/>
  <c r="AO103" i="1"/>
  <c r="AR103" i="1" s="1"/>
  <c r="AO117" i="1"/>
  <c r="AR117" i="1" s="1"/>
  <c r="R119" i="1"/>
  <c r="AO119" i="1"/>
  <c r="AR119" i="1" s="1"/>
  <c r="AP29" i="1"/>
  <c r="AO29" i="1"/>
  <c r="AR29" i="1" s="1"/>
  <c r="R99" i="1"/>
  <c r="AO27" i="1"/>
  <c r="AR27" i="1" s="1"/>
  <c r="AP22" i="1"/>
  <c r="R46" i="1"/>
  <c r="AO100" i="1"/>
  <c r="AR100" i="1" s="1"/>
  <c r="AP101" i="1"/>
  <c r="R103" i="1"/>
  <c r="AO67" i="1"/>
  <c r="AR67" i="1" s="1"/>
  <c r="R114" i="1"/>
  <c r="AO115" i="1"/>
  <c r="AR115" i="1" s="1"/>
  <c r="AP116" i="1"/>
  <c r="R117" i="1"/>
  <c r="AO118" i="1"/>
  <c r="AR118" i="1" s="1"/>
  <c r="AP66" i="1"/>
  <c r="R29" i="1"/>
  <c r="AO120" i="1"/>
  <c r="AR120" i="1" s="1"/>
  <c r="AP121" i="1"/>
  <c r="R123" i="1"/>
  <c r="AO124" i="1"/>
  <c r="AR124" i="1" s="1"/>
  <c r="AP125" i="1"/>
  <c r="R31" i="1"/>
  <c r="AO19" i="1"/>
  <c r="AR19" i="1" s="1"/>
  <c r="AP126" i="1"/>
  <c r="AQ127" i="1"/>
  <c r="R27" i="1"/>
  <c r="AO22" i="1"/>
  <c r="AR22" i="1" s="1"/>
  <c r="R100" i="1"/>
  <c r="AO101" i="1"/>
  <c r="AR101" i="1" s="1"/>
  <c r="R67" i="1"/>
  <c r="R115" i="1"/>
  <c r="AO116" i="1"/>
  <c r="AR116" i="1" s="1"/>
  <c r="R118" i="1"/>
  <c r="AO66" i="1"/>
  <c r="AR66" i="1" s="1"/>
  <c r="R120" i="1"/>
  <c r="AO121" i="1"/>
  <c r="AR121" i="1" s="1"/>
  <c r="R124" i="1"/>
  <c r="AO125" i="1"/>
  <c r="AR125" i="1" s="1"/>
  <c r="R19" i="1"/>
  <c r="AO126" i="1"/>
  <c r="AR126" i="1" s="1"/>
  <c r="R21" i="1"/>
  <c r="AQ27" i="1"/>
  <c r="AQ100" i="1"/>
  <c r="AQ67" i="1"/>
  <c r="AQ115" i="1"/>
  <c r="AQ118" i="1"/>
  <c r="AQ120" i="1"/>
  <c r="AQ124" i="1"/>
  <c r="AQ19" i="1"/>
  <c r="R126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AQ190" i="1"/>
  <c r="AP192" i="1"/>
  <c r="AP193" i="1"/>
  <c r="AQ194" i="1"/>
  <c r="AP196" i="1"/>
  <c r="AP197" i="1"/>
  <c r="AQ198" i="1"/>
  <c r="F29" i="23"/>
  <c r="E29" i="23"/>
  <c r="D29" i="23"/>
  <c r="F28" i="23"/>
  <c r="E28" i="23"/>
  <c r="D28" i="23"/>
  <c r="F27" i="23"/>
  <c r="E27" i="23"/>
  <c r="D27" i="23"/>
  <c r="F26" i="23"/>
  <c r="E26" i="23"/>
  <c r="D26" i="23"/>
  <c r="F25" i="23"/>
  <c r="E25" i="23"/>
  <c r="D25" i="23"/>
  <c r="F23" i="23"/>
  <c r="E23" i="23"/>
  <c r="D23" i="23"/>
  <c r="F22" i="23"/>
  <c r="E22" i="23"/>
  <c r="D22" i="23"/>
  <c r="F21" i="23"/>
  <c r="E21" i="23"/>
  <c r="D21" i="23"/>
  <c r="F20" i="23"/>
  <c r="E20" i="23"/>
  <c r="D20" i="23"/>
  <c r="F18" i="23"/>
  <c r="E18" i="23"/>
  <c r="D18" i="23"/>
  <c r="F17" i="23"/>
  <c r="E17" i="23"/>
  <c r="D17" i="23"/>
  <c r="F16" i="23"/>
  <c r="E16" i="23"/>
  <c r="D16" i="23"/>
  <c r="F15" i="23"/>
  <c r="E15" i="23"/>
  <c r="D15" i="23"/>
  <c r="F14" i="23"/>
  <c r="E14" i="23"/>
  <c r="D14" i="23"/>
  <c r="F13" i="23"/>
  <c r="E13" i="23"/>
  <c r="D13" i="23"/>
  <c r="I1" i="1"/>
  <c r="E4" i="1"/>
  <c r="E3" i="1"/>
  <c r="E2" i="1"/>
  <c r="E1" i="1"/>
  <c r="D4" i="1"/>
  <c r="D3" i="1"/>
  <c r="D2" i="1"/>
  <c r="D1" i="1"/>
  <c r="A1" i="24"/>
  <c r="A3" i="24"/>
  <c r="AP141" i="1" l="1"/>
  <c r="AP134" i="1"/>
  <c r="AQ96" i="1"/>
  <c r="AP175" i="1"/>
  <c r="I23" i="23"/>
  <c r="I29" i="23"/>
  <c r="I28" i="23"/>
  <c r="I27" i="23"/>
  <c r="I26" i="23"/>
  <c r="I13" i="23"/>
  <c r="I14" i="23"/>
  <c r="I15" i="23"/>
  <c r="I16" i="23"/>
  <c r="I17" i="23"/>
  <c r="I18" i="23"/>
  <c r="I20" i="23"/>
  <c r="I21" i="23"/>
  <c r="I22" i="23"/>
  <c r="I25" i="23"/>
  <c r="AQ199" i="1"/>
  <c r="AQ195" i="1"/>
  <c r="AQ191" i="1"/>
  <c r="AQ131" i="1"/>
  <c r="G22" i="23"/>
  <c r="G29" i="23"/>
  <c r="G25" i="23"/>
  <c r="G28" i="23"/>
  <c r="G26" i="23"/>
  <c r="G27" i="23"/>
  <c r="G14" i="23"/>
  <c r="G16" i="23"/>
  <c r="G18" i="23"/>
  <c r="G21" i="23"/>
  <c r="G23" i="23"/>
  <c r="G13" i="23"/>
  <c r="G15" i="23"/>
  <c r="G17" i="23"/>
  <c r="G20" i="23"/>
  <c r="R198" i="1"/>
  <c r="R194" i="1"/>
  <c r="R190" i="1"/>
  <c r="R186" i="1"/>
  <c r="AO196" i="1"/>
  <c r="AR196" i="1" s="1"/>
  <c r="AO192" i="1"/>
  <c r="AR192" i="1" s="1"/>
  <c r="AO134" i="1"/>
  <c r="AR134" i="1" s="1"/>
  <c r="AO141" i="1"/>
  <c r="AR141" i="1" s="1"/>
  <c r="AP198" i="1"/>
  <c r="AP194" i="1"/>
  <c r="AP190" i="1"/>
  <c r="AP96" i="1"/>
  <c r="AQ196" i="1"/>
  <c r="AQ192" i="1"/>
  <c r="AQ134" i="1"/>
  <c r="AQ141" i="1"/>
  <c r="R199" i="1"/>
  <c r="R195" i="1"/>
  <c r="R191" i="1"/>
  <c r="R187" i="1"/>
  <c r="AO197" i="1"/>
  <c r="AR197" i="1" s="1"/>
  <c r="AO193" i="1"/>
  <c r="AR193" i="1" s="1"/>
  <c r="AO175" i="1"/>
  <c r="AR175" i="1" s="1"/>
  <c r="AP199" i="1"/>
  <c r="AP195" i="1"/>
  <c r="AP191" i="1"/>
  <c r="AP131" i="1"/>
  <c r="AQ197" i="1"/>
  <c r="AQ193" i="1"/>
  <c r="AQ175" i="1"/>
  <c r="R196" i="1"/>
  <c r="R192" i="1"/>
  <c r="R188" i="1"/>
  <c r="R184" i="1"/>
  <c r="AO198" i="1"/>
  <c r="AR198" i="1" s="1"/>
  <c r="AO194" i="1"/>
  <c r="AR194" i="1" s="1"/>
  <c r="AO190" i="1"/>
  <c r="AR190" i="1" s="1"/>
  <c r="AO96" i="1"/>
  <c r="AR96" i="1" s="1"/>
  <c r="R197" i="1"/>
  <c r="R193" i="1"/>
  <c r="R189" i="1"/>
  <c r="R185" i="1"/>
  <c r="AO199" i="1"/>
  <c r="AR199" i="1" s="1"/>
  <c r="AO195" i="1"/>
  <c r="AR195" i="1" s="1"/>
  <c r="AO191" i="1"/>
  <c r="AR191" i="1" s="1"/>
  <c r="AO131" i="1"/>
  <c r="AR131" i="1" s="1"/>
  <c r="A13" i="23" l="1"/>
  <c r="J27" i="23" l="1"/>
  <c r="Z178" i="1" l="1"/>
  <c r="Z179" i="1"/>
  <c r="Z180" i="1"/>
  <c r="Z181" i="1"/>
  <c r="Z182" i="1"/>
  <c r="R178" i="1"/>
  <c r="R179" i="1"/>
  <c r="AQ184" i="1"/>
  <c r="R181" i="1"/>
  <c r="R182" i="1"/>
  <c r="Z175" i="1"/>
  <c r="Z176" i="1"/>
  <c r="Z177" i="1"/>
  <c r="Z183" i="1"/>
  <c r="R175" i="1"/>
  <c r="R176" i="1"/>
  <c r="R177" i="1"/>
  <c r="G30" i="23" l="1"/>
  <c r="E30" i="23"/>
  <c r="D30" i="23"/>
  <c r="AQ44" i="1"/>
  <c r="AP34" i="1"/>
  <c r="AO61" i="1"/>
  <c r="AR61" i="1" s="1"/>
  <c r="AO44" i="1"/>
  <c r="AR44" i="1" s="1"/>
  <c r="AP184" i="1"/>
  <c r="AQ61" i="1"/>
  <c r="AO184" i="1"/>
  <c r="AR184" i="1" s="1"/>
  <c r="AP61" i="1"/>
  <c r="AQ34" i="1"/>
  <c r="R180" i="1"/>
  <c r="AO34" i="1"/>
  <c r="AR34" i="1" s="1"/>
  <c r="AP44" i="1"/>
  <c r="J26" i="23"/>
  <c r="J28" i="23"/>
  <c r="J29" i="23"/>
  <c r="F30" i="23"/>
  <c r="AO32" i="1"/>
  <c r="AR32" i="1" s="1"/>
  <c r="AP14" i="1"/>
  <c r="AO14" i="1"/>
  <c r="AR14" i="1" s="1"/>
  <c r="AQ14" i="1"/>
  <c r="R183" i="1"/>
  <c r="AQ32" i="1"/>
  <c r="Z165" i="1"/>
  <c r="Z11" i="1"/>
  <c r="Z73" i="1"/>
  <c r="Z48" i="1"/>
  <c r="Z166" i="1"/>
  <c r="Z167" i="1"/>
  <c r="Z168" i="1"/>
  <c r="Z169" i="1"/>
  <c r="Z170" i="1"/>
  <c r="Z171" i="1"/>
  <c r="Z172" i="1"/>
  <c r="Z173" i="1"/>
  <c r="Z174" i="1"/>
  <c r="AQ136" i="1"/>
  <c r="AP32" i="1"/>
  <c r="AO160" i="1"/>
  <c r="AR160" i="1" s="1"/>
  <c r="Z65" i="1"/>
  <c r="A3" i="17"/>
  <c r="A1" i="17"/>
  <c r="AP160" i="1" l="1"/>
  <c r="AQ160" i="1"/>
  <c r="AO136" i="1"/>
  <c r="AR136" i="1" s="1"/>
  <c r="AP136" i="1"/>
  <c r="I30" i="23"/>
  <c r="AO154" i="1"/>
  <c r="AR154" i="1" s="1"/>
  <c r="AP154" i="1"/>
  <c r="AQ154" i="1"/>
  <c r="AO93" i="1"/>
  <c r="AR93" i="1" s="1"/>
  <c r="AO172" i="1"/>
  <c r="AR172" i="1" s="1"/>
  <c r="AP172" i="1"/>
  <c r="AQ172" i="1"/>
  <c r="AQ79" i="1"/>
  <c r="AO145" i="1"/>
  <c r="AR145" i="1" s="1"/>
  <c r="AP79" i="1"/>
  <c r="AQ177" i="1"/>
  <c r="AO177" i="1"/>
  <c r="AR177" i="1" s="1"/>
  <c r="AP177" i="1"/>
  <c r="AP82" i="1"/>
  <c r="AQ82" i="1"/>
  <c r="AO82" i="1"/>
  <c r="AR82" i="1" s="1"/>
  <c r="AQ91" i="1"/>
  <c r="AO91" i="1"/>
  <c r="AR91" i="1" s="1"/>
  <c r="AP91" i="1"/>
  <c r="AO65" i="1"/>
  <c r="AR65" i="1" s="1"/>
  <c r="AO51" i="1"/>
  <c r="AR51" i="1" s="1"/>
  <c r="AP170" i="1"/>
  <c r="AQ170" i="1"/>
  <c r="AO74" i="1"/>
  <c r="AR74" i="1" s="1"/>
  <c r="AQ83" i="1"/>
  <c r="AO83" i="1"/>
  <c r="AR83" i="1" s="1"/>
  <c r="AP83" i="1"/>
  <c r="AQ35" i="1"/>
  <c r="AO35" i="1"/>
  <c r="AR35" i="1" s="1"/>
  <c r="AP35" i="1"/>
  <c r="AQ62" i="1"/>
  <c r="AO62" i="1"/>
  <c r="AR62" i="1" s="1"/>
  <c r="AP62" i="1"/>
  <c r="AQ53" i="1"/>
  <c r="AO53" i="1"/>
  <c r="AR53" i="1" s="1"/>
  <c r="AP53" i="1"/>
  <c r="AO132" i="1"/>
  <c r="AR132" i="1" s="1"/>
  <c r="AP132" i="1"/>
  <c r="AQ132" i="1"/>
  <c r="AP129" i="1"/>
  <c r="AQ129" i="1"/>
  <c r="AO129" i="1"/>
  <c r="AR129" i="1" s="1"/>
  <c r="AO89" i="1"/>
  <c r="AR89" i="1" s="1"/>
  <c r="AP89" i="1"/>
  <c r="AQ89" i="1"/>
  <c r="AO50" i="1"/>
  <c r="AR50" i="1" s="1"/>
  <c r="AP50" i="1"/>
  <c r="AQ50" i="1"/>
  <c r="AO80" i="1"/>
  <c r="AP80" i="1"/>
  <c r="AQ80" i="1"/>
  <c r="AO168" i="1"/>
  <c r="AR168" i="1" s="1"/>
  <c r="AP168" i="1"/>
  <c r="AQ168" i="1"/>
  <c r="AO162" i="1"/>
  <c r="AR162" i="1" s="1"/>
  <c r="AP63" i="1"/>
  <c r="AQ63" i="1"/>
  <c r="AO63" i="1"/>
  <c r="AR63" i="1" s="1"/>
  <c r="AO77" i="1"/>
  <c r="AR77" i="1" s="1"/>
  <c r="AP77" i="1"/>
  <c r="AQ77" i="1"/>
  <c r="AP138" i="1"/>
  <c r="AQ138" i="1"/>
  <c r="AO138" i="1"/>
  <c r="AR138" i="1" s="1"/>
  <c r="AO84" i="1"/>
  <c r="AR84" i="1" s="1"/>
  <c r="AP84" i="1"/>
  <c r="AQ84" i="1"/>
  <c r="AP130" i="1"/>
  <c r="AQ130" i="1"/>
  <c r="AO165" i="1"/>
  <c r="AR165" i="1" s="1"/>
  <c r="AO144" i="1"/>
  <c r="AR144" i="1" s="1"/>
  <c r="AP144" i="1"/>
  <c r="AQ144" i="1"/>
  <c r="AO157" i="1"/>
  <c r="AR157" i="1" s="1"/>
  <c r="AO81" i="1"/>
  <c r="AO178" i="1"/>
  <c r="AR178" i="1" s="1"/>
  <c r="AP135" i="1"/>
  <c r="AQ135" i="1"/>
  <c r="AQ73" i="1"/>
  <c r="AO183" i="1"/>
  <c r="AR183" i="1" s="1"/>
  <c r="AP73" i="1"/>
  <c r="AP145" i="1"/>
  <c r="AQ145" i="1"/>
  <c r="AO18" i="1"/>
  <c r="AR18" i="1" s="1"/>
  <c r="AP18" i="1"/>
  <c r="AQ18" i="1"/>
  <c r="AO43" i="1"/>
  <c r="AR43" i="1" s="1"/>
  <c r="AP43" i="1"/>
  <c r="AQ43" i="1"/>
  <c r="AO147" i="1"/>
  <c r="AR147" i="1" s="1"/>
  <c r="AP147" i="1"/>
  <c r="AQ147" i="1"/>
  <c r="AP173" i="1"/>
  <c r="AQ173" i="1"/>
  <c r="AO159" i="1"/>
  <c r="AR159" i="1" s="1"/>
  <c r="AP159" i="1"/>
  <c r="AQ159" i="1"/>
  <c r="AP39" i="1"/>
  <c r="AQ39" i="1"/>
  <c r="AO182" i="1"/>
  <c r="AR182" i="1" s="1"/>
  <c r="AP182" i="1"/>
  <c r="AQ182" i="1"/>
  <c r="AP185" i="1"/>
  <c r="AQ185" i="1"/>
  <c r="AO23" i="1"/>
  <c r="AR23" i="1" s="1"/>
  <c r="AO143" i="1"/>
  <c r="AR143" i="1" s="1"/>
  <c r="AP143" i="1"/>
  <c r="AQ143" i="1"/>
  <c r="AO179" i="1"/>
  <c r="AR179" i="1" s="1"/>
  <c r="AP179" i="1"/>
  <c r="AQ179" i="1"/>
  <c r="AQ65" i="1"/>
  <c r="AP65" i="1"/>
  <c r="AO95" i="1"/>
  <c r="AR95" i="1" s="1"/>
  <c r="AP186" i="1"/>
  <c r="AQ186" i="1"/>
  <c r="AO73" i="1"/>
  <c r="AR73" i="1" s="1"/>
  <c r="AQ16" i="1"/>
  <c r="AO16" i="1"/>
  <c r="AR16" i="1" s="1"/>
  <c r="AP16" i="1"/>
  <c r="AQ178" i="1"/>
  <c r="AO85" i="1"/>
  <c r="AR85" i="1" s="1"/>
  <c r="AP178" i="1"/>
  <c r="AO167" i="1"/>
  <c r="AR167" i="1" s="1"/>
  <c r="AP167" i="1"/>
  <c r="AQ167" i="1"/>
  <c r="AQ149" i="1"/>
  <c r="AO149" i="1"/>
  <c r="AR149" i="1" s="1"/>
  <c r="AP149" i="1"/>
  <c r="AO181" i="1"/>
  <c r="AR181" i="1" s="1"/>
  <c r="AP181" i="1"/>
  <c r="AQ181" i="1"/>
  <c r="AP74" i="1"/>
  <c r="AQ74" i="1"/>
  <c r="AO169" i="1"/>
  <c r="AR169" i="1" s="1"/>
  <c r="AQ93" i="1"/>
  <c r="AP93" i="1"/>
  <c r="AO170" i="1"/>
  <c r="AR170" i="1" s="1"/>
  <c r="AQ58" i="1"/>
  <c r="AP58" i="1"/>
  <c r="AP95" i="1"/>
  <c r="AQ95" i="1"/>
  <c r="AO187" i="1"/>
  <c r="AR187" i="1" s="1"/>
  <c r="AP88" i="1"/>
  <c r="AQ88" i="1"/>
  <c r="AO30" i="1"/>
  <c r="AR30" i="1" s="1"/>
  <c r="AO186" i="1"/>
  <c r="AR186" i="1" s="1"/>
  <c r="AP155" i="1"/>
  <c r="AQ155" i="1"/>
  <c r="AO78" i="1"/>
  <c r="AR78" i="1" s="1"/>
  <c r="AP57" i="1"/>
  <c r="AQ57" i="1"/>
  <c r="AQ81" i="1"/>
  <c r="AP81" i="1"/>
  <c r="AP140" i="1"/>
  <c r="AQ140" i="1"/>
  <c r="AO135" i="1"/>
  <c r="AR135" i="1" s="1"/>
  <c r="AP150" i="1"/>
  <c r="AQ150" i="1"/>
  <c r="AP72" i="1"/>
  <c r="AQ72" i="1"/>
  <c r="AO72" i="1"/>
  <c r="AR72" i="1" s="1"/>
  <c r="AP189" i="1"/>
  <c r="AQ189" i="1"/>
  <c r="AO189" i="1"/>
  <c r="AR189" i="1" s="1"/>
  <c r="AP158" i="1"/>
  <c r="AQ158" i="1"/>
  <c r="AO158" i="1"/>
  <c r="AR158" i="1" s="1"/>
  <c r="AO20" i="1"/>
  <c r="AR20" i="1" s="1"/>
  <c r="AP20" i="1"/>
  <c r="AQ20" i="1"/>
  <c r="AQ28" i="1"/>
  <c r="AP28" i="1"/>
  <c r="AO13" i="1"/>
  <c r="AR13" i="1" s="1"/>
  <c r="AP7" i="1"/>
  <c r="AQ7" i="1"/>
  <c r="AO92" i="1"/>
  <c r="AP92" i="1"/>
  <c r="AQ92" i="1"/>
  <c r="AP164" i="1"/>
  <c r="AQ164" i="1"/>
  <c r="AO164" i="1"/>
  <c r="AR164" i="1" s="1"/>
  <c r="AO57" i="1"/>
  <c r="AR57" i="1" s="1"/>
  <c r="AP165" i="1"/>
  <c r="AQ165" i="1"/>
  <c r="AO171" i="1"/>
  <c r="AR171" i="1" s="1"/>
  <c r="AP171" i="1"/>
  <c r="AQ171" i="1"/>
  <c r="AO140" i="1"/>
  <c r="AR140" i="1" s="1"/>
  <c r="AP48" i="1"/>
  <c r="AQ48" i="1"/>
  <c r="AO71" i="1"/>
  <c r="AR71" i="1" s="1"/>
  <c r="AP71" i="1"/>
  <c r="AQ71" i="1"/>
  <c r="AO156" i="1"/>
  <c r="AR156" i="1" s="1"/>
  <c r="AP45" i="1"/>
  <c r="AQ45" i="1"/>
  <c r="AO17" i="1"/>
  <c r="AR17" i="1" s="1"/>
  <c r="AP86" i="1"/>
  <c r="AQ86" i="1"/>
  <c r="AP187" i="1"/>
  <c r="AQ187" i="1"/>
  <c r="AO86" i="1"/>
  <c r="AR86" i="1" s="1"/>
  <c r="AO33" i="1"/>
  <c r="AR33" i="1" s="1"/>
  <c r="AP33" i="1"/>
  <c r="AQ33" i="1"/>
  <c r="AP183" i="1"/>
  <c r="AQ183" i="1"/>
  <c r="AO151" i="1"/>
  <c r="AR151" i="1" s="1"/>
  <c r="AP151" i="1"/>
  <c r="AQ151" i="1"/>
  <c r="AP157" i="1"/>
  <c r="AQ157" i="1"/>
  <c r="AO28" i="1"/>
  <c r="AR28" i="1" s="1"/>
  <c r="AQ94" i="1"/>
  <c r="AO94" i="1"/>
  <c r="AR94" i="1" s="1"/>
  <c r="AP94" i="1"/>
  <c r="AO38" i="1"/>
  <c r="AR38" i="1" s="1"/>
  <c r="AO79" i="1"/>
  <c r="AR79" i="1" s="1"/>
  <c r="AP68" i="1"/>
  <c r="AQ68" i="1"/>
  <c r="AQ169" i="1"/>
  <c r="AO48" i="1"/>
  <c r="AR48" i="1" s="1"/>
  <c r="AP169" i="1"/>
  <c r="AQ55" i="1"/>
  <c r="AP55" i="1"/>
  <c r="AP161" i="1"/>
  <c r="AQ161" i="1"/>
  <c r="AO161" i="1"/>
  <c r="AR161" i="1" s="1"/>
  <c r="AP137" i="1"/>
  <c r="AQ137" i="1"/>
  <c r="AO45" i="1"/>
  <c r="AR45" i="1" s="1"/>
  <c r="AP85" i="1"/>
  <c r="AQ85" i="1"/>
  <c r="AO68" i="1"/>
  <c r="AR68" i="1" s="1"/>
  <c r="AP36" i="1"/>
  <c r="AQ36" i="1"/>
  <c r="AO36" i="1"/>
  <c r="AR36" i="1" s="1"/>
  <c r="AQ163" i="1"/>
  <c r="AO163" i="1"/>
  <c r="AR163" i="1" s="1"/>
  <c r="AP163" i="1"/>
  <c r="AQ8" i="1"/>
  <c r="AO8" i="1"/>
  <c r="AR8" i="1" s="1"/>
  <c r="AP8" i="1"/>
  <c r="AP156" i="1"/>
  <c r="AQ156" i="1"/>
  <c r="AO69" i="1"/>
  <c r="AR69" i="1" s="1"/>
  <c r="AO55" i="1"/>
  <c r="AR55" i="1" s="1"/>
  <c r="AP30" i="1"/>
  <c r="AQ30" i="1"/>
  <c r="AO90" i="1"/>
  <c r="AP90" i="1"/>
  <c r="AQ90" i="1"/>
  <c r="AP17" i="1"/>
  <c r="AQ17" i="1"/>
  <c r="AO188" i="1"/>
  <c r="AR188" i="1" s="1"/>
  <c r="AP142" i="1"/>
  <c r="AQ142" i="1"/>
  <c r="AO142" i="1"/>
  <c r="AR142" i="1" s="1"/>
  <c r="AP174" i="1"/>
  <c r="AQ174" i="1"/>
  <c r="AO155" i="1"/>
  <c r="AR155" i="1" s="1"/>
  <c r="AO39" i="1"/>
  <c r="AR39" i="1" s="1"/>
  <c r="AP38" i="1"/>
  <c r="AQ38" i="1"/>
  <c r="AP40" i="1"/>
  <c r="AQ40" i="1"/>
  <c r="AO40" i="1"/>
  <c r="AR40" i="1" s="1"/>
  <c r="AP23" i="1"/>
  <c r="AQ23" i="1"/>
  <c r="AQ37" i="1"/>
  <c r="AO37" i="1"/>
  <c r="AR37" i="1" s="1"/>
  <c r="AP37" i="1"/>
  <c r="AO152" i="1"/>
  <c r="AR152" i="1" s="1"/>
  <c r="AP152" i="1"/>
  <c r="AQ152" i="1"/>
  <c r="AP49" i="1"/>
  <c r="AQ49" i="1"/>
  <c r="AO88" i="1"/>
  <c r="AR88" i="1" s="1"/>
  <c r="AO166" i="1"/>
  <c r="AR166" i="1" s="1"/>
  <c r="AP166" i="1"/>
  <c r="AQ166" i="1"/>
  <c r="AO174" i="1"/>
  <c r="AR174" i="1" s="1"/>
  <c r="AQ69" i="1"/>
  <c r="AP69" i="1"/>
  <c r="AQ188" i="1"/>
  <c r="AP188" i="1"/>
  <c r="AO128" i="1"/>
  <c r="AR128" i="1" s="1"/>
  <c r="AO59" i="1"/>
  <c r="AR59" i="1" s="1"/>
  <c r="AP59" i="1"/>
  <c r="AQ59" i="1"/>
  <c r="AO146" i="1"/>
  <c r="AR146" i="1" s="1"/>
  <c r="AP146" i="1"/>
  <c r="AQ146" i="1"/>
  <c r="AO7" i="1"/>
  <c r="AR7" i="1" s="1"/>
  <c r="AP148" i="1"/>
  <c r="AQ148" i="1"/>
  <c r="AO137" i="1"/>
  <c r="AR137" i="1" s="1"/>
  <c r="AO11" i="1"/>
  <c r="AR11" i="1" s="1"/>
  <c r="AP11" i="1"/>
  <c r="AQ11" i="1"/>
  <c r="AO173" i="1"/>
  <c r="AR173" i="1" s="1"/>
  <c r="AQ128" i="1"/>
  <c r="AP128" i="1"/>
  <c r="AQ6" i="1"/>
  <c r="AO6" i="1"/>
  <c r="AR6" i="1" s="1"/>
  <c r="AP6" i="1"/>
  <c r="AP51" i="1"/>
  <c r="AQ51" i="1"/>
  <c r="AO185" i="1"/>
  <c r="AR185" i="1" s="1"/>
  <c r="R172" i="1"/>
  <c r="R65" i="1"/>
  <c r="R173" i="1"/>
  <c r="R171" i="1"/>
  <c r="R169" i="1"/>
  <c r="R167" i="1"/>
  <c r="R165" i="1"/>
  <c r="R170" i="1"/>
  <c r="R73" i="1"/>
  <c r="R174" i="1"/>
  <c r="R48" i="1"/>
  <c r="R168" i="1"/>
  <c r="R166" i="1"/>
  <c r="R11" i="1"/>
  <c r="AR80" i="1" l="1"/>
  <c r="AR81" i="1"/>
  <c r="AR92" i="1"/>
  <c r="AR90" i="1"/>
  <c r="A3" i="14"/>
  <c r="A1" i="14"/>
  <c r="Z32" i="1"/>
  <c r="Z36" i="1"/>
  <c r="Z79" i="1"/>
  <c r="Z164" i="1"/>
  <c r="Z6" i="1"/>
  <c r="R161" i="1"/>
  <c r="R32" i="1"/>
  <c r="R68" i="1"/>
  <c r="R79" i="1"/>
  <c r="R163" i="1"/>
  <c r="Z8" i="1"/>
  <c r="AO24" i="1" l="1"/>
  <c r="AR24" i="1" s="1"/>
  <c r="AQ24" i="1"/>
  <c r="AP24" i="1"/>
  <c r="AQ87" i="1"/>
  <c r="AP87" i="1"/>
  <c r="AO87" i="1"/>
  <c r="AP15" i="1"/>
  <c r="AO15" i="1"/>
  <c r="AR15" i="1" s="1"/>
  <c r="AQ15" i="1"/>
  <c r="AP25" i="1"/>
  <c r="AO150" i="1"/>
  <c r="AR150" i="1" s="1"/>
  <c r="AQ25" i="1"/>
  <c r="AQ60" i="1"/>
  <c r="AP60" i="1"/>
  <c r="AO60" i="1"/>
  <c r="AR60" i="1" s="1"/>
  <c r="AQ176" i="1"/>
  <c r="AP176" i="1"/>
  <c r="AO176" i="1"/>
  <c r="AR176" i="1" s="1"/>
  <c r="AQ162" i="1"/>
  <c r="AP162" i="1"/>
  <c r="AO25" i="1"/>
  <c r="AR25" i="1" s="1"/>
  <c r="AP13" i="1"/>
  <c r="AO130" i="1"/>
  <c r="AR130" i="1" s="1"/>
  <c r="AQ13" i="1"/>
  <c r="AQ153" i="1"/>
  <c r="AP153" i="1"/>
  <c r="AO153" i="1"/>
  <c r="AR153" i="1" s="1"/>
  <c r="AO58" i="1"/>
  <c r="AR58" i="1" s="1"/>
  <c r="AO180" i="1"/>
  <c r="AR180" i="1" s="1"/>
  <c r="AQ180" i="1"/>
  <c r="AP180" i="1"/>
  <c r="AO97" i="1"/>
  <c r="AR97" i="1" s="1"/>
  <c r="AQ97" i="1"/>
  <c r="AP97" i="1"/>
  <c r="AO75" i="1"/>
  <c r="AR75" i="1" s="1"/>
  <c r="AQ75" i="1"/>
  <c r="AP75" i="1"/>
  <c r="AO148" i="1"/>
  <c r="AR148" i="1" s="1"/>
  <c r="AP78" i="1"/>
  <c r="AQ78" i="1"/>
  <c r="AO139" i="1"/>
  <c r="AR139" i="1" s="1"/>
  <c r="AP139" i="1"/>
  <c r="AQ139" i="1"/>
  <c r="AO133" i="1"/>
  <c r="AR133" i="1" s="1"/>
  <c r="AP133" i="1"/>
  <c r="AQ133" i="1"/>
  <c r="AO49" i="1"/>
  <c r="AR49" i="1" s="1"/>
  <c r="R23" i="1"/>
  <c r="R6" i="1"/>
  <c r="R8" i="1"/>
  <c r="R7" i="1"/>
  <c r="R13" i="1"/>
  <c r="Z14" i="1"/>
  <c r="Z162" i="1"/>
  <c r="Z13" i="1"/>
  <c r="Z163" i="1"/>
  <c r="Z161" i="1"/>
  <c r="Z68" i="1"/>
  <c r="Z23" i="1"/>
  <c r="Z7" i="1"/>
  <c r="R36" i="1"/>
  <c r="R162" i="1"/>
  <c r="R14" i="1"/>
  <c r="R164" i="1"/>
  <c r="Z158" i="1"/>
  <c r="Z159" i="1"/>
  <c r="Z160" i="1"/>
  <c r="R158" i="1"/>
  <c r="R159" i="1"/>
  <c r="R160" i="1"/>
  <c r="AR87" i="1" l="1"/>
  <c r="I33" i="23"/>
  <c r="H33" i="23"/>
  <c r="J18" i="23"/>
  <c r="G33" i="23"/>
  <c r="J15" i="23"/>
  <c r="J21" i="23"/>
  <c r="F33" i="23"/>
  <c r="J17" i="23"/>
  <c r="D33" i="23"/>
  <c r="J23" i="23"/>
  <c r="J14" i="23"/>
  <c r="J20" i="23"/>
  <c r="E33" i="23"/>
  <c r="J16" i="23"/>
  <c r="J22" i="23"/>
  <c r="J13" i="23"/>
  <c r="Z156" i="1"/>
  <c r="Z157" i="1"/>
  <c r="R156" i="1"/>
  <c r="R157" i="1"/>
  <c r="Z154" i="1"/>
  <c r="Z155" i="1"/>
  <c r="Z57" i="1"/>
  <c r="Z34" i="1"/>
  <c r="Z74" i="1"/>
  <c r="Z28" i="1"/>
  <c r="R154" i="1"/>
  <c r="R155" i="1"/>
  <c r="R57" i="1"/>
  <c r="R34" i="1"/>
  <c r="R74" i="1"/>
  <c r="R28" i="1"/>
  <c r="Z81" i="1"/>
  <c r="Z82" i="1"/>
  <c r="Z83" i="1"/>
  <c r="Z84" i="1"/>
  <c r="Z85" i="1"/>
  <c r="Z86" i="1"/>
  <c r="Z87" i="1"/>
  <c r="Z88" i="1"/>
  <c r="Z62" i="1"/>
  <c r="Z75" i="1"/>
  <c r="Z72" i="1"/>
  <c r="Z59" i="1"/>
  <c r="Z89" i="1"/>
  <c r="Z90" i="1"/>
  <c r="Z91" i="1"/>
  <c r="Z92" i="1"/>
  <c r="Z93" i="1"/>
  <c r="Z94" i="1"/>
  <c r="Z95" i="1"/>
  <c r="Z69" i="1"/>
  <c r="Z96" i="1"/>
  <c r="Z63" i="1"/>
  <c r="Z97" i="1"/>
  <c r="Z15" i="1"/>
  <c r="Z17" i="1"/>
  <c r="Z25" i="1"/>
  <c r="Z55" i="1"/>
  <c r="Z128" i="1"/>
  <c r="Z129" i="1"/>
  <c r="Z130" i="1"/>
  <c r="Z40" i="1"/>
  <c r="Z131" i="1"/>
  <c r="Z132" i="1"/>
  <c r="Z133" i="1"/>
  <c r="Z134" i="1"/>
  <c r="Z58" i="1"/>
  <c r="Z53" i="1"/>
  <c r="Z135" i="1"/>
  <c r="Z136" i="1"/>
  <c r="Z137" i="1"/>
  <c r="Z60" i="1"/>
  <c r="Z77" i="1"/>
  <c r="Z61" i="1"/>
  <c r="Z18" i="1"/>
  <c r="Z20" i="1"/>
  <c r="Z138" i="1"/>
  <c r="Z30" i="1"/>
  <c r="Z139" i="1"/>
  <c r="Z140" i="1"/>
  <c r="Z141" i="1"/>
  <c r="Z142" i="1"/>
  <c r="Z143" i="1"/>
  <c r="Z45" i="1"/>
  <c r="Z39" i="1"/>
  <c r="Z44" i="1"/>
  <c r="Z37" i="1"/>
  <c r="Z71" i="1"/>
  <c r="Z38" i="1"/>
  <c r="Z51" i="1"/>
  <c r="Z35" i="1"/>
  <c r="Z49" i="1"/>
  <c r="Z148" i="1"/>
  <c r="Z152" i="1"/>
  <c r="Z80" i="1"/>
  <c r="J33" i="23" l="1"/>
  <c r="Z146" i="1"/>
  <c r="Z151" i="1"/>
  <c r="Z33" i="1"/>
  <c r="Z43" i="1"/>
  <c r="Z153" i="1"/>
  <c r="Z149" i="1"/>
  <c r="Z147" i="1"/>
  <c r="Z145" i="1"/>
  <c r="Z144" i="1"/>
  <c r="Z78" i="1"/>
  <c r="Z150" i="1"/>
  <c r="Z16" i="1"/>
  <c r="Z24" i="1"/>
  <c r="Z50" i="1"/>
  <c r="J25" i="23" l="1"/>
  <c r="J30" i="23" s="1"/>
  <c r="R81" i="1"/>
  <c r="R82" i="1"/>
  <c r="R93" i="1"/>
  <c r="R17" i="1"/>
  <c r="R86" i="1"/>
  <c r="R88" i="1"/>
  <c r="R62" i="1"/>
  <c r="R75" i="1"/>
  <c r="R72" i="1"/>
  <c r="R59" i="1"/>
  <c r="R90" i="1"/>
  <c r="R40" i="1"/>
  <c r="R92" i="1"/>
  <c r="R84" i="1"/>
  <c r="R94" i="1"/>
  <c r="R95" i="1"/>
  <c r="R69" i="1"/>
  <c r="R83" i="1"/>
  <c r="R97" i="1"/>
  <c r="R131" i="1"/>
  <c r="R61" i="1"/>
  <c r="R55" i="1"/>
  <c r="R85" i="1"/>
  <c r="R135" i="1"/>
  <c r="R60" i="1"/>
  <c r="R15" i="1"/>
  <c r="R133" i="1"/>
  <c r="R91" i="1"/>
  <c r="R134" i="1"/>
  <c r="R96" i="1"/>
  <c r="R129" i="1"/>
  <c r="R63" i="1"/>
  <c r="R25" i="1"/>
  <c r="R128" i="1"/>
  <c r="R89" i="1"/>
  <c r="R130" i="1"/>
  <c r="R132" i="1"/>
  <c r="R58" i="1"/>
  <c r="R53" i="1"/>
  <c r="R136" i="1"/>
  <c r="R137" i="1"/>
  <c r="R87" i="1"/>
  <c r="R77" i="1"/>
  <c r="R71" i="1"/>
  <c r="R18" i="1"/>
  <c r="R20" i="1"/>
  <c r="R138" i="1"/>
  <c r="R30" i="1"/>
  <c r="R139" i="1"/>
  <c r="R140" i="1"/>
  <c r="R141" i="1"/>
  <c r="R142" i="1"/>
  <c r="R143" i="1"/>
  <c r="R45" i="1"/>
  <c r="R39" i="1"/>
  <c r="R44" i="1"/>
  <c r="R37" i="1"/>
  <c r="R38" i="1"/>
  <c r="R51" i="1"/>
  <c r="R144" i="1"/>
  <c r="R50" i="1"/>
  <c r="R43" i="1"/>
  <c r="R35" i="1"/>
  <c r="R145" i="1"/>
  <c r="R24" i="1"/>
  <c r="R146" i="1"/>
  <c r="R49" i="1"/>
  <c r="R147" i="1"/>
  <c r="R16" i="1"/>
  <c r="R33" i="1"/>
  <c r="R148" i="1"/>
  <c r="R149" i="1"/>
  <c r="R150" i="1"/>
  <c r="R151" i="1"/>
  <c r="R152" i="1"/>
  <c r="R153" i="1"/>
  <c r="R78" i="1"/>
  <c r="R80" i="1"/>
  <c r="A3" i="19" l="1"/>
  <c r="A2" i="19"/>
  <c r="A1" i="19"/>
  <c r="A3" i="2"/>
  <c r="A1" i="2"/>
</calcChain>
</file>

<file path=xl/sharedStrings.xml><?xml version="1.0" encoding="utf-8"?>
<sst xmlns="http://schemas.openxmlformats.org/spreadsheetml/2006/main" count="2027" uniqueCount="442">
  <si>
    <t>Ssz</t>
  </si>
  <si>
    <t>Név</t>
  </si>
  <si>
    <t>Hely</t>
  </si>
  <si>
    <t>Korosztály</t>
  </si>
  <si>
    <t>Kategória</t>
  </si>
  <si>
    <t>Aláírás</t>
  </si>
  <si>
    <t>Szektor</t>
  </si>
  <si>
    <t>Rajthely</t>
  </si>
  <si>
    <t>Fogás (gramm)</t>
  </si>
  <si>
    <t>úszós</t>
  </si>
  <si>
    <t>gyermek</t>
  </si>
  <si>
    <t>ifjúsági</t>
  </si>
  <si>
    <t>Pont</t>
  </si>
  <si>
    <t>Helyezés</t>
  </si>
  <si>
    <t>Részmérések:</t>
  </si>
  <si>
    <r>
      <rPr>
        <sz val="11"/>
        <color theme="1"/>
        <rFont val="Calibri"/>
        <family val="2"/>
        <charset val="238"/>
      </rPr>
      <t xml:space="preserve">∑ </t>
    </r>
    <r>
      <rPr>
        <sz val="11"/>
        <color theme="1"/>
        <rFont val="Calibri"/>
        <family val="2"/>
        <charset val="238"/>
        <scheme val="minor"/>
      </rPr>
      <t>Fogás (gramm)</t>
    </r>
  </si>
  <si>
    <t>Aláírás + 0 gramm fogás: a mérlegelésnél jelen volt, de nem volt értékelhető fogása.</t>
  </si>
  <si>
    <t>Aláírás helyén "NM" megjegyzés + 0 gramm fogás: a mérlegelésnél nem volt jelen.</t>
  </si>
  <si>
    <r>
      <rPr>
        <sz val="11"/>
        <color theme="1"/>
        <rFont val="Calibri"/>
        <family val="2"/>
        <charset val="238"/>
      </rPr>
      <t xml:space="preserve">∑ </t>
    </r>
    <r>
      <rPr>
        <sz val="11"/>
        <color theme="1"/>
        <rFont val="Calibri"/>
        <family val="2"/>
        <charset val="238"/>
        <scheme val="minor"/>
      </rPr>
      <t>Fogás</t>
    </r>
  </si>
  <si>
    <t>❷</t>
  </si>
  <si>
    <t>❶</t>
  </si>
  <si>
    <t>❸</t>
  </si>
  <si>
    <t>⑧</t>
  </si>
  <si>
    <t>⑨</t>
  </si>
  <si>
    <t>⑩</t>
  </si>
  <si>
    <t>⑪</t>
  </si>
  <si>
    <t>⑫</t>
  </si>
  <si>
    <t>⑦</t>
  </si>
  <si>
    <t>⑥</t>
  </si>
  <si>
    <t>⑤</t>
  </si>
  <si>
    <t>④</t>
  </si>
  <si>
    <t>ALAP</t>
  </si>
  <si>
    <r>
      <rPr>
        <i/>
        <sz val="11"/>
        <color theme="9" tint="-0.249977111117893"/>
        <rFont val="Calibri"/>
        <family val="2"/>
        <charset val="238"/>
        <scheme val="minor"/>
      </rPr>
      <t>Sorsolás után</t>
    </r>
    <r>
      <rPr>
        <sz val="11"/>
        <color theme="1"/>
        <rFont val="Calibri"/>
        <family val="2"/>
        <charset val="238"/>
        <scheme val="minor"/>
      </rPr>
      <t xml:space="preserve"> szektor és rajthelyeket beírni</t>
    </r>
  </si>
  <si>
    <r>
      <rPr>
        <i/>
        <sz val="11"/>
        <color theme="9" tint="-0.249977111117893"/>
        <rFont val="Calibri"/>
        <family val="2"/>
        <charset val="238"/>
        <scheme val="minor"/>
      </rPr>
      <t>Mérlegelési lapok beérkezése után</t>
    </r>
    <r>
      <rPr>
        <sz val="11"/>
        <color theme="1"/>
        <rFont val="Calibri"/>
        <family val="2"/>
        <charset val="238"/>
        <scheme val="minor"/>
      </rPr>
      <t xml:space="preserve"> fogásokat és pontokat beírni  -  (könnyebb, ha sorrendezve van szektor szerint)</t>
    </r>
  </si>
  <si>
    <t>Sorrendek</t>
  </si>
  <si>
    <t>FONTOS!</t>
  </si>
  <si>
    <t>Sorokat vagy oszlopokat ne szúrjunk be és ne töröljünk ki!</t>
  </si>
  <si>
    <t>"alap"-on fogások és pontok kitöltése után előállíthatók és kinyomtathatók (1 oldalas) a szektoronkénti sorrendek fogáseredményekkel és pontokkal.</t>
  </si>
  <si>
    <t>"alap"-on  rajthelyek kitöltése után előállíthatók és kinyomtathatók (1 oldalas)</t>
  </si>
  <si>
    <t>"      " szektor</t>
  </si>
  <si>
    <t>Mérlegelési lap</t>
  </si>
  <si>
    <t xml:space="preserve">Összesen: </t>
  </si>
  <si>
    <t xml:space="preserve">Fogás összesen: </t>
  </si>
  <si>
    <t>"alap"-on a gyermek szektorhoz gy-t kell írni.</t>
  </si>
  <si>
    <t>Pont
össz.</t>
  </si>
  <si>
    <t>.</t>
  </si>
  <si>
    <t>Pont
1.</t>
  </si>
  <si>
    <t>Pont
2.</t>
  </si>
  <si>
    <t>Pont
3.</t>
  </si>
  <si>
    <t>Pont
4.</t>
  </si>
  <si>
    <t>Pont
5.</t>
  </si>
  <si>
    <t xml:space="preserve">Összesített verseny állása:  </t>
  </si>
  <si>
    <t>Fogás
1.</t>
  </si>
  <si>
    <t>Fogás
2.</t>
  </si>
  <si>
    <t>Fogás
3.</t>
  </si>
  <si>
    <t>Fogás
4.</t>
  </si>
  <si>
    <t>Fogás
5.</t>
  </si>
  <si>
    <t>Fogás
össz.</t>
  </si>
  <si>
    <t>SZR
1.</t>
  </si>
  <si>
    <t>SZR
2.</t>
  </si>
  <si>
    <t>SZR
3.</t>
  </si>
  <si>
    <t>SZR
4.</t>
  </si>
  <si>
    <t>SZR
5.</t>
  </si>
  <si>
    <t>pont</t>
  </si>
  <si>
    <t>fogás</t>
  </si>
  <si>
    <t>hely</t>
  </si>
  <si>
    <t>1. forduló</t>
  </si>
  <si>
    <t>2. forduló</t>
  </si>
  <si>
    <t>4. forduló</t>
  </si>
  <si>
    <t>3. forduló</t>
  </si>
  <si>
    <t>5. forduló</t>
  </si>
  <si>
    <t>ÖSSZESEN</t>
  </si>
  <si>
    <t>ÖsszesenÁllás</t>
  </si>
  <si>
    <t>pontszerző</t>
  </si>
  <si>
    <t>Fogások összesen:</t>
  </si>
  <si>
    <r>
      <rPr>
        <i/>
        <sz val="11"/>
        <color theme="9" tint="-0.249977111117893"/>
        <rFont val="Calibri"/>
        <family val="2"/>
        <charset val="238"/>
        <scheme val="minor"/>
      </rPr>
      <t>Új versenyző felvétele</t>
    </r>
    <r>
      <rPr>
        <sz val="11"/>
        <color theme="1"/>
        <rFont val="Calibri"/>
        <family val="2"/>
        <charset val="238"/>
        <scheme val="minor"/>
      </rPr>
      <t>:  Sorrendezni Ssz szerint és beírni az adatait</t>
    </r>
  </si>
  <si>
    <t>Végső
pontszám</t>
  </si>
  <si>
    <t>Szerzett pontok</t>
  </si>
  <si>
    <t>Összes
fogás</t>
  </si>
  <si>
    <t>Részvétel
száma</t>
  </si>
  <si>
    <t>részvétel
száma</t>
  </si>
  <si>
    <t>szerzett
pontok</t>
  </si>
  <si>
    <t>kieső
pontszám</t>
  </si>
  <si>
    <t>végső
pontszám</t>
  </si>
  <si>
    <t>Végeredmény</t>
  </si>
  <si>
    <t>Az utolsó forduló után, a pontok beírása után lehet használni.</t>
  </si>
  <si>
    <t>①</t>
  </si>
  <si>
    <t>②</t>
  </si>
  <si>
    <t>③</t>
  </si>
  <si>
    <t>Kifogott halmennyiség (gramm)</t>
  </si>
  <si>
    <t>STATISZTIKA</t>
  </si>
  <si>
    <t>Versenyek:</t>
  </si>
  <si>
    <t>felnőtt férfi</t>
  </si>
  <si>
    <t>felnőtt nő</t>
  </si>
  <si>
    <t>1-szer</t>
  </si>
  <si>
    <t>2-szer</t>
  </si>
  <si>
    <t>3-szor</t>
  </si>
  <si>
    <t>4-szer</t>
  </si>
  <si>
    <t>5-ször</t>
  </si>
  <si>
    <t>Ebből:</t>
  </si>
  <si>
    <t>Átlagos fogás versenyzőnként (gramm)</t>
  </si>
  <si>
    <t>Résztvevők száma  (fő)</t>
  </si>
  <si>
    <t>Összesen</t>
  </si>
  <si>
    <t>felnőtt</t>
  </si>
  <si>
    <t>Dunakeszi</t>
  </si>
  <si>
    <t>Budapest</t>
  </si>
  <si>
    <t>gyermek:</t>
  </si>
  <si>
    <t>úszós:</t>
  </si>
  <si>
    <t>női</t>
  </si>
  <si>
    <t>Gyömrő</t>
  </si>
  <si>
    <t>településről</t>
  </si>
  <si>
    <t>településről összesen (fő):</t>
  </si>
  <si>
    <t>külföldi</t>
  </si>
  <si>
    <t>feeder</t>
  </si>
  <si>
    <t>feeder method:</t>
  </si>
  <si>
    <t>feeder:</t>
  </si>
  <si>
    <t>method feeder</t>
  </si>
  <si>
    <t>MérlegLapok</t>
  </si>
  <si>
    <r>
      <t>Semmit nem kell (</t>
    </r>
    <r>
      <rPr>
        <b/>
        <sz val="11"/>
        <color rgb="FFFF0000"/>
        <rFont val="Calibri"/>
        <family val="2"/>
        <charset val="238"/>
        <scheme val="minor"/>
      </rPr>
      <t>nem szabad</t>
    </r>
    <r>
      <rPr>
        <sz val="11"/>
        <color theme="1"/>
        <rFont val="Calibri"/>
        <family val="2"/>
        <charset val="238"/>
        <scheme val="minor"/>
      </rPr>
      <t xml:space="preserve">) beleírni, az összetett verseny állását mutatja. </t>
    </r>
  </si>
  <si>
    <r>
      <t xml:space="preserve">Figyelem! A verseny végi mérést tartalmazó </t>
    </r>
    <r>
      <rPr>
        <b/>
        <i/>
        <sz val="11"/>
        <color theme="1"/>
        <rFont val="Calibri"/>
        <family val="2"/>
        <charset val="238"/>
      </rPr>
      <t xml:space="preserve">∑ Fogás oszlopban a részméréseknél rögzített fogásnak </t>
    </r>
    <r>
      <rPr>
        <b/>
        <i/>
        <u/>
        <sz val="11"/>
        <color theme="1"/>
        <rFont val="Calibri"/>
        <family val="2"/>
        <charset val="238"/>
      </rPr>
      <t>NEM KELL</t>
    </r>
    <r>
      <rPr>
        <b/>
        <i/>
        <sz val="11"/>
        <color theme="1"/>
        <rFont val="Calibri"/>
        <family val="2"/>
        <charset val="238"/>
      </rPr>
      <t xml:space="preserve"> szerepelni!</t>
    </r>
  </si>
  <si>
    <t>Befizetési lista</t>
  </si>
  <si>
    <t>Pótebéd
(Ft)</t>
  </si>
  <si>
    <t>Összes
befizetés</t>
  </si>
  <si>
    <t>Pótebéd</t>
  </si>
  <si>
    <t>Pótebéd ára:</t>
  </si>
  <si>
    <t>Pont
6.</t>
  </si>
  <si>
    <t>Fogás
6.</t>
  </si>
  <si>
    <t>SZR
6.</t>
  </si>
  <si>
    <t>Maldrik Péter</t>
  </si>
  <si>
    <t>Tura</t>
  </si>
  <si>
    <t>Bánfi Zénó</t>
  </si>
  <si>
    <t>Csanytelek</t>
  </si>
  <si>
    <t>Becsei József</t>
  </si>
  <si>
    <t>Szeged</t>
  </si>
  <si>
    <t>László Zoltán</t>
  </si>
  <si>
    <t>Csongrád</t>
  </si>
  <si>
    <t>Tóth László</t>
  </si>
  <si>
    <t>Kiss Gábor</t>
  </si>
  <si>
    <t>Csampa György</t>
  </si>
  <si>
    <t>Mátraszele</t>
  </si>
  <si>
    <t>Zelenák György</t>
  </si>
  <si>
    <t>Csanádpalota</t>
  </si>
  <si>
    <t>Forgó Attila</t>
  </si>
  <si>
    <t>Valkó Tamás</t>
  </si>
  <si>
    <t>Miskolc</t>
  </si>
  <si>
    <t>Bonivárt László</t>
  </si>
  <si>
    <t>Salgótarján</t>
  </si>
  <si>
    <t>Kiss Dániel</t>
  </si>
  <si>
    <t>Mátraverebély</t>
  </si>
  <si>
    <t>Szikora Rajmond Gábor</t>
  </si>
  <si>
    <t>Rákóczibánya</t>
  </si>
  <si>
    <t>Palotai Kristóf</t>
  </si>
  <si>
    <t>Palotai Marcell</t>
  </si>
  <si>
    <t>Pomáz</t>
  </si>
  <si>
    <t>Szikszai Attila</t>
  </si>
  <si>
    <t>Godó Kitti</t>
  </si>
  <si>
    <t>Szolnok</t>
  </si>
  <si>
    <t>Cserepes Tamás</t>
  </si>
  <si>
    <t>Cserepes György</t>
  </si>
  <si>
    <t>Pécel</t>
  </si>
  <si>
    <t>Kállai Alexander Márk</t>
  </si>
  <si>
    <t>Abony</t>
  </si>
  <si>
    <t>Stoszek László</t>
  </si>
  <si>
    <t>Mátranovák</t>
  </si>
  <si>
    <t>Huszár András</t>
  </si>
  <si>
    <t>Brozmann Miklós</t>
  </si>
  <si>
    <t>Mátraterenye</t>
  </si>
  <si>
    <t>Kurucz Dávid</t>
  </si>
  <si>
    <t>Bencze Zoltán</t>
  </si>
  <si>
    <t>Szécsény</t>
  </si>
  <si>
    <t>Bokor Norbert</t>
  </si>
  <si>
    <t>Erdély László</t>
  </si>
  <si>
    <t>Albertus Zsolt</t>
  </si>
  <si>
    <t>Vircsik Attila</t>
  </si>
  <si>
    <t>Tóth Gábor</t>
  </si>
  <si>
    <t>Pásztor Péter</t>
  </si>
  <si>
    <t>Gurisatti Gyula id.</t>
  </si>
  <si>
    <t>Dunaújváros</t>
  </si>
  <si>
    <t>Gurisatti Gyula</t>
  </si>
  <si>
    <t>Kiss József</t>
  </si>
  <si>
    <t>Bag</t>
  </si>
  <si>
    <t>"F" oszlop kódjai:</t>
  </si>
  <si>
    <r>
      <rPr>
        <b/>
        <sz val="14"/>
        <color rgb="FF0070C0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sz val="11"/>
        <color theme="1"/>
        <rFont val="Arial"/>
        <family val="2"/>
        <charset val="238"/>
      </rPr>
      <t>Σ</t>
    </r>
    <r>
      <rPr>
        <sz val="11"/>
        <color theme="1"/>
        <rFont val="Calibri"/>
        <family val="2"/>
        <charset val="238"/>
      </rPr>
      <t xml:space="preserve">SZK, </t>
    </r>
    <r>
      <rPr>
        <sz val="11"/>
        <color theme="1"/>
        <rFont val="Wingdings"/>
        <charset val="2"/>
      </rPr>
      <t>ü</t>
    </r>
    <r>
      <rPr>
        <sz val="11"/>
        <color theme="1"/>
        <rFont val="Calibri"/>
        <family val="2"/>
        <charset val="238"/>
      </rPr>
      <t>E</t>
    </r>
  </si>
  <si>
    <r>
      <rPr>
        <b/>
        <sz val="14"/>
        <color rgb="FF0070C0"/>
        <rFont val="Calibri"/>
        <family val="2"/>
        <charset val="238"/>
        <scheme val="minor"/>
      </rPr>
      <t>7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sz val="11"/>
        <color theme="1"/>
        <rFont val="Arial"/>
        <family val="2"/>
        <charset val="238"/>
      </rPr>
      <t>Σ</t>
    </r>
    <r>
      <rPr>
        <sz val="11"/>
        <color theme="1"/>
        <rFont val="Calibri"/>
        <family val="2"/>
        <charset val="238"/>
      </rPr>
      <t>SZK, ØE</t>
    </r>
  </si>
  <si>
    <t>6. forduló</t>
  </si>
  <si>
    <t>-</t>
  </si>
  <si>
    <t>①  XVI. Tavaszi Maconka Kupa</t>
  </si>
  <si>
    <t>②  IX. Maconkai Majális Kupa</t>
  </si>
  <si>
    <t>③  XXIV. Tóparti Randevú Kupa</t>
  </si>
  <si>
    <t>④  X. Maconkai Napsugár Kupa</t>
  </si>
  <si>
    <t>⑤  X. Vízparti Varázslat Kupa</t>
  </si>
  <si>
    <r>
      <rPr>
        <sz val="11"/>
        <color theme="1"/>
        <rFont val="Calibri"/>
        <family val="2"/>
        <charset val="238"/>
      </rPr>
      <t>⑥</t>
    </r>
    <r>
      <rPr>
        <sz val="11"/>
        <color theme="1"/>
        <rFont val="Calibri"/>
        <family val="2"/>
        <charset val="238"/>
        <scheme val="minor"/>
      </rPr>
      <t xml:space="preserve">  IV. Maconkai Halvadász Kupa</t>
    </r>
  </si>
  <si>
    <t>gy</t>
  </si>
  <si>
    <t>6-szor</t>
  </si>
  <si>
    <r>
      <rPr>
        <b/>
        <sz val="9"/>
        <rFont val="Arial"/>
        <family val="2"/>
        <charset val="238"/>
      </rPr>
      <t>Σ</t>
    </r>
    <r>
      <rPr>
        <b/>
        <sz val="9"/>
        <rFont val="Calibri"/>
        <family val="2"/>
        <charset val="238"/>
      </rPr>
      <t xml:space="preserve">SZK
</t>
    </r>
    <r>
      <rPr>
        <b/>
        <sz val="9"/>
        <rFont val="Wingdings"/>
        <charset val="2"/>
      </rPr>
      <t>ü</t>
    </r>
    <r>
      <rPr>
        <b/>
        <sz val="9"/>
        <rFont val="Calibri"/>
        <family val="2"/>
        <charset val="238"/>
      </rPr>
      <t>E</t>
    </r>
  </si>
  <si>
    <r>
      <rPr>
        <b/>
        <sz val="9"/>
        <rFont val="Arial"/>
        <family val="2"/>
        <charset val="238"/>
      </rPr>
      <t>Σ</t>
    </r>
    <r>
      <rPr>
        <b/>
        <sz val="9"/>
        <rFont val="Calibri"/>
        <family val="2"/>
        <charset val="238"/>
      </rPr>
      <t>SZK
ØE</t>
    </r>
  </si>
  <si>
    <r>
      <t xml:space="preserve">Napi
</t>
    </r>
    <r>
      <rPr>
        <b/>
        <sz val="9"/>
        <rFont val="Wingdings"/>
        <charset val="2"/>
      </rPr>
      <t>ü</t>
    </r>
    <r>
      <rPr>
        <b/>
        <sz val="9"/>
        <rFont val="Calibri"/>
        <family val="2"/>
        <charset val="238"/>
      </rPr>
      <t>E</t>
    </r>
  </si>
  <si>
    <r>
      <t xml:space="preserve">Napi
</t>
    </r>
    <r>
      <rPr>
        <b/>
        <sz val="9"/>
        <rFont val="Calibri"/>
        <family val="2"/>
        <charset val="238"/>
      </rPr>
      <t>ØE</t>
    </r>
  </si>
  <si>
    <r>
      <t xml:space="preserve">2 - Napi, </t>
    </r>
    <r>
      <rPr>
        <b/>
        <sz val="10"/>
        <rFont val="Wingdings"/>
        <charset val="2"/>
      </rPr>
      <t>ü</t>
    </r>
    <r>
      <rPr>
        <b/>
        <sz val="10"/>
        <rFont val="Calibri"/>
        <family val="2"/>
        <charset val="238"/>
      </rPr>
      <t>E</t>
    </r>
  </si>
  <si>
    <r>
      <t xml:space="preserve">3 - Napi, </t>
    </r>
    <r>
      <rPr>
        <b/>
        <sz val="10"/>
        <rFont val="Calibri"/>
        <family val="2"/>
        <charset val="238"/>
      </rPr>
      <t>ØE</t>
    </r>
  </si>
  <si>
    <r>
      <t xml:space="preserve">6 - </t>
    </r>
    <r>
      <rPr>
        <b/>
        <sz val="10"/>
        <rFont val="Arial"/>
        <family val="2"/>
        <charset val="238"/>
      </rPr>
      <t>Σ</t>
    </r>
    <r>
      <rPr>
        <b/>
        <sz val="10"/>
        <rFont val="Calibri"/>
        <family val="2"/>
        <charset val="238"/>
      </rPr>
      <t xml:space="preserve">SZK, </t>
    </r>
    <r>
      <rPr>
        <b/>
        <sz val="10"/>
        <rFont val="Wingdings"/>
        <charset val="2"/>
      </rPr>
      <t>ü</t>
    </r>
    <r>
      <rPr>
        <b/>
        <sz val="10"/>
        <rFont val="Calibri"/>
        <family val="2"/>
        <charset val="238"/>
      </rPr>
      <t>E</t>
    </r>
  </si>
  <si>
    <r>
      <t xml:space="preserve">7 - </t>
    </r>
    <r>
      <rPr>
        <b/>
        <sz val="10"/>
        <rFont val="Arial"/>
        <family val="2"/>
        <charset val="238"/>
      </rPr>
      <t>Σ</t>
    </r>
    <r>
      <rPr>
        <b/>
        <sz val="10"/>
        <rFont val="Calibri"/>
        <family val="2"/>
        <charset val="238"/>
      </rPr>
      <t>SZK, ØE</t>
    </r>
  </si>
  <si>
    <r>
      <rPr>
        <b/>
        <sz val="14"/>
        <color rgb="FF0070C0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: Napi, </t>
    </r>
    <r>
      <rPr>
        <sz val="11"/>
        <color theme="1"/>
        <rFont val="Wingdings"/>
        <charset val="2"/>
      </rPr>
      <t>ü</t>
    </r>
    <r>
      <rPr>
        <sz val="11"/>
        <color theme="1"/>
        <rFont val="Calibri"/>
        <family val="2"/>
        <charset val="238"/>
        <scheme val="minor"/>
      </rPr>
      <t>E</t>
    </r>
  </si>
  <si>
    <r>
      <rPr>
        <b/>
        <sz val="14"/>
        <color rgb="FF0070C0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: Napi, </t>
    </r>
    <r>
      <rPr>
        <sz val="11"/>
        <color theme="1"/>
        <rFont val="Calibri"/>
        <family val="2"/>
        <charset val="238"/>
      </rPr>
      <t>ØE</t>
    </r>
  </si>
  <si>
    <r>
      <t xml:space="preserve">Napi </t>
    </r>
    <r>
      <rPr>
        <sz val="11"/>
        <color theme="1"/>
        <rFont val="Wingdings"/>
        <charset val="2"/>
      </rPr>
      <t>ü</t>
    </r>
    <r>
      <rPr>
        <sz val="11"/>
        <color theme="1"/>
        <rFont val="Calibri"/>
        <family val="2"/>
        <charset val="238"/>
        <scheme val="minor"/>
      </rPr>
      <t>E</t>
    </r>
  </si>
  <si>
    <r>
      <t xml:space="preserve">Napi </t>
    </r>
    <r>
      <rPr>
        <sz val="11"/>
        <color theme="1"/>
        <rFont val="Calibri"/>
        <family val="2"/>
        <charset val="238"/>
      </rPr>
      <t>Ø</t>
    </r>
    <r>
      <rPr>
        <sz val="9.9"/>
        <color theme="1"/>
        <rFont val="Calibri"/>
        <family val="2"/>
        <charset val="238"/>
      </rPr>
      <t>E</t>
    </r>
  </si>
  <si>
    <r>
      <rPr>
        <sz val="11"/>
        <color theme="1"/>
        <rFont val="Arial"/>
        <family val="2"/>
        <charset val="238"/>
      </rPr>
      <t>Σ</t>
    </r>
    <r>
      <rPr>
        <sz val="9.9"/>
        <color theme="1"/>
        <rFont val="Calibri"/>
        <family val="2"/>
        <charset val="238"/>
      </rPr>
      <t xml:space="preserve">SZK </t>
    </r>
    <r>
      <rPr>
        <sz val="9.9"/>
        <color theme="1"/>
        <rFont val="Wingdings"/>
        <charset val="2"/>
      </rPr>
      <t>ü</t>
    </r>
    <r>
      <rPr>
        <sz val="8.9"/>
        <color theme="1"/>
        <rFont val="Calibri"/>
        <family val="2"/>
        <charset val="238"/>
      </rPr>
      <t>E</t>
    </r>
  </si>
  <si>
    <r>
      <rPr>
        <sz val="11"/>
        <color theme="1"/>
        <rFont val="Arial"/>
        <family val="2"/>
        <charset val="238"/>
      </rPr>
      <t>Σ</t>
    </r>
    <r>
      <rPr>
        <sz val="9.9"/>
        <color theme="1"/>
        <rFont val="Calibri"/>
        <family val="2"/>
        <charset val="238"/>
      </rPr>
      <t>SZK Ø</t>
    </r>
    <r>
      <rPr>
        <sz val="11"/>
        <color theme="1"/>
        <rFont val="Calibri"/>
        <family val="2"/>
        <charset val="238"/>
        <scheme val="minor"/>
      </rPr>
      <t>E</t>
    </r>
  </si>
  <si>
    <r>
      <t xml:space="preserve">    </t>
    </r>
    <r>
      <rPr>
        <sz val="12"/>
        <color theme="1"/>
        <rFont val="Calibri"/>
        <family val="2"/>
        <charset val="238"/>
      </rPr>
      <t>①</t>
    </r>
    <r>
      <rPr>
        <i/>
        <sz val="12"/>
        <color theme="1"/>
        <rFont val="Calibri"/>
        <family val="2"/>
        <charset val="238"/>
      </rPr>
      <t xml:space="preserve">  XVI</t>
    </r>
    <r>
      <rPr>
        <i/>
        <sz val="12"/>
        <color theme="1"/>
        <rFont val="Calibri"/>
        <family val="2"/>
        <charset val="238"/>
        <scheme val="minor"/>
      </rPr>
      <t xml:space="preserve">. Tavaszi Maconka Kupa
    </t>
    </r>
    <r>
      <rPr>
        <sz val="12"/>
        <color theme="1"/>
        <rFont val="Calibri"/>
        <family val="2"/>
        <charset val="238"/>
      </rPr>
      <t>②</t>
    </r>
    <r>
      <rPr>
        <i/>
        <sz val="12"/>
        <color theme="1"/>
        <rFont val="Calibri"/>
        <family val="2"/>
        <charset val="238"/>
      </rPr>
      <t xml:space="preserve">  IX. Maconkai Majális K</t>
    </r>
    <r>
      <rPr>
        <i/>
        <sz val="12"/>
        <color theme="1"/>
        <rFont val="Calibri"/>
        <family val="2"/>
        <charset val="238"/>
        <scheme val="minor"/>
      </rPr>
      <t xml:space="preserve">upa
    </t>
    </r>
    <r>
      <rPr>
        <sz val="12"/>
        <color theme="1"/>
        <rFont val="Calibri"/>
        <family val="2"/>
        <charset val="238"/>
      </rPr>
      <t>③</t>
    </r>
    <r>
      <rPr>
        <i/>
        <sz val="12"/>
        <color theme="1"/>
        <rFont val="Calibri"/>
        <family val="2"/>
        <charset val="238"/>
      </rPr>
      <t xml:space="preserve">  XXIV</t>
    </r>
    <r>
      <rPr>
        <i/>
        <sz val="12"/>
        <color theme="1"/>
        <rFont val="Calibri"/>
        <family val="2"/>
        <charset val="238"/>
        <scheme val="minor"/>
      </rPr>
      <t xml:space="preserve">. Tóparti Randevú Kupa
    </t>
    </r>
    <r>
      <rPr>
        <sz val="12"/>
        <color theme="1"/>
        <rFont val="Calibri"/>
        <family val="2"/>
        <charset val="238"/>
      </rPr>
      <t>④</t>
    </r>
    <r>
      <rPr>
        <i/>
        <sz val="12"/>
        <color theme="1"/>
        <rFont val="Calibri"/>
        <family val="2"/>
        <charset val="238"/>
      </rPr>
      <t xml:space="preserve">  X</t>
    </r>
    <r>
      <rPr>
        <i/>
        <sz val="12"/>
        <color theme="1"/>
        <rFont val="Calibri"/>
        <family val="2"/>
        <charset val="238"/>
        <scheme val="minor"/>
      </rPr>
      <t xml:space="preserve">. Maconkai Napsugár Kupa
    </t>
    </r>
    <r>
      <rPr>
        <sz val="12"/>
        <color theme="1"/>
        <rFont val="Calibri"/>
        <family val="2"/>
        <charset val="238"/>
      </rPr>
      <t>⑤</t>
    </r>
    <r>
      <rPr>
        <i/>
        <sz val="12"/>
        <color theme="1"/>
        <rFont val="Calibri"/>
        <family val="2"/>
        <charset val="238"/>
      </rPr>
      <t xml:space="preserve">  X</t>
    </r>
    <r>
      <rPr>
        <i/>
        <sz val="12"/>
        <color theme="1"/>
        <rFont val="Calibri"/>
        <family val="2"/>
        <charset val="238"/>
        <scheme val="minor"/>
      </rPr>
      <t xml:space="preserve">. Vízparti Varázslat Kupa
    </t>
    </r>
    <r>
      <rPr>
        <sz val="12"/>
        <color theme="1"/>
        <rFont val="Calibri"/>
        <family val="2"/>
        <charset val="238"/>
      </rPr>
      <t>⑥</t>
    </r>
    <r>
      <rPr>
        <i/>
        <sz val="12"/>
        <color theme="1"/>
        <rFont val="Calibri"/>
        <family val="2"/>
        <charset val="238"/>
      </rPr>
      <t xml:space="preserve">  IV. Maconkai halvadász Kupa</t>
    </r>
  </si>
  <si>
    <t>Cím</t>
  </si>
  <si>
    <t>H.</t>
  </si>
  <si>
    <t>Kieső
pont</t>
  </si>
  <si>
    <t>Lakatos Árpád</t>
  </si>
  <si>
    <t>Gyál</t>
  </si>
  <si>
    <t>Sztojanovics Zoltán</t>
  </si>
  <si>
    <t>Juhász János</t>
  </si>
  <si>
    <t>Balassagyarmat</t>
  </si>
  <si>
    <t>Sebek Stanislav</t>
  </si>
  <si>
    <t>Tupa (SK)</t>
  </si>
  <si>
    <t>Mráz Tamás</t>
  </si>
  <si>
    <t>Levice (SK)</t>
  </si>
  <si>
    <t>Bacik Stanislav</t>
  </si>
  <si>
    <t>Sladkovica (SK)</t>
  </si>
  <si>
    <t>Zentai Zsolt</t>
  </si>
  <si>
    <t>Szilágyi Zalán</t>
  </si>
  <si>
    <t>Mátraderecske</t>
  </si>
  <si>
    <t>Kucsera Sebestyén</t>
  </si>
  <si>
    <t>Inárcs</t>
  </si>
  <si>
    <t>Nagy László</t>
  </si>
  <si>
    <t>Gyöngyös</t>
  </si>
  <si>
    <t>Tar János</t>
  </si>
  <si>
    <t>Istenmezeje</t>
  </si>
  <si>
    <t>Tar Ákos</t>
  </si>
  <si>
    <t>Hugyecz Martin</t>
  </si>
  <si>
    <t>Gyurcsák Péter</t>
  </si>
  <si>
    <t>Gál Tamás</t>
  </si>
  <si>
    <t>Kreffly Csaba</t>
  </si>
  <si>
    <t>Maglód</t>
  </si>
  <si>
    <t>Sajóvölgyi Erzsébet</t>
  </si>
  <si>
    <t>Hegyes Iván</t>
  </si>
  <si>
    <t>Győri Henrik</t>
  </si>
  <si>
    <t>Birta Barnabás Bendegúz</t>
  </si>
  <si>
    <t>Tőke Ferenc</t>
  </si>
  <si>
    <t>Fülek (SK)</t>
  </si>
  <si>
    <t>Csak az 5 vagy 6 fordulóban részt vett versenyzőket számolja, a hat fordulóban elért pontok közül a legmagasabbat levonja.</t>
  </si>
  <si>
    <t>Papp Zoltán</t>
  </si>
  <si>
    <t>Dombóvár</t>
  </si>
  <si>
    <t>Kerekes Ernő</t>
  </si>
  <si>
    <t>Soltvadkert</t>
  </si>
  <si>
    <t>Petrovics János</t>
  </si>
  <si>
    <t>Nógrádsipek</t>
  </si>
  <si>
    <t>Silkó László</t>
  </si>
  <si>
    <t>Hatvan</t>
  </si>
  <si>
    <t>Fiola György</t>
  </si>
  <si>
    <t>Petrovics Richárd</t>
  </si>
  <si>
    <t>Vadas Tamás</t>
  </si>
  <si>
    <t>Mihálygerge</t>
  </si>
  <si>
    <t>Földi Zoltán</t>
  </si>
  <si>
    <t>Tóth Sándor</t>
  </si>
  <si>
    <t>Nagy-Sas Krisztián</t>
  </si>
  <si>
    <t>Szigetszentmiklós</t>
  </si>
  <si>
    <t>Farkas János</t>
  </si>
  <si>
    <t>Felsőzsolca</t>
  </si>
  <si>
    <t>Dávid Viktor</t>
  </si>
  <si>
    <t>Mezőkövesd</t>
  </si>
  <si>
    <t>Hordós Dániel</t>
  </si>
  <si>
    <t>Gyöngyöstarján</t>
  </si>
  <si>
    <t>Tűzkő József</t>
  </si>
  <si>
    <t>Veresegyháza</t>
  </si>
  <si>
    <t>Kotroczó Csaba</t>
  </si>
  <si>
    <t>Nemti</t>
  </si>
  <si>
    <t>Lázár József</t>
  </si>
  <si>
    <t>Jászdózsa</t>
  </si>
  <si>
    <t>Danyi István</t>
  </si>
  <si>
    <t>Fót</t>
  </si>
  <si>
    <t>Dobos Géza</t>
  </si>
  <si>
    <t>Balog Attila</t>
  </si>
  <si>
    <t>Losonc (SK)</t>
  </si>
  <si>
    <t>Budai Péter</t>
  </si>
  <si>
    <t>Pusztamonostor</t>
  </si>
  <si>
    <t>Strba Gyula</t>
  </si>
  <si>
    <t>Drazice (SK)</t>
  </si>
  <si>
    <t>Ducza Zsolt</t>
  </si>
  <si>
    <t>Ducza Tamás</t>
  </si>
  <si>
    <t>Bach Tibor</t>
  </si>
  <si>
    <t>Strubel József</t>
  </si>
  <si>
    <t>Sütő Adrián</t>
  </si>
  <si>
    <t>Sütő Kevin</t>
  </si>
  <si>
    <t>Becsei István</t>
  </si>
  <si>
    <t>Vác</t>
  </si>
  <si>
    <t>Biczó Roland</t>
  </si>
  <si>
    <t>Darvasi Béla</t>
  </si>
  <si>
    <t>Berczi Szilárd</t>
  </si>
  <si>
    <t>Kurucz Gergely</t>
  </si>
  <si>
    <t>Debrecen</t>
  </si>
  <si>
    <t>Kaszás Géza</t>
  </si>
  <si>
    <t>Kovács Viktor</t>
  </si>
  <si>
    <t>Pilisvörösvár</t>
  </si>
  <si>
    <t>Urbán József</t>
  </si>
  <si>
    <t>Kovács-Csatlós Domonkos</t>
  </si>
  <si>
    <t>Göd</t>
  </si>
  <si>
    <t>Oláh Kristóf Bálint</t>
  </si>
  <si>
    <t>Pétervására</t>
  </si>
  <si>
    <t>Tiszavári Gergő Attila</t>
  </si>
  <si>
    <t>Dömsöd</t>
  </si>
  <si>
    <t>Bódi Zsolt</t>
  </si>
  <si>
    <t>Szurdokpüsöki</t>
  </si>
  <si>
    <t>Pásztor Balázs</t>
  </si>
  <si>
    <t>Forgács László</t>
  </si>
  <si>
    <t>Bátonyterenye</t>
  </si>
  <si>
    <t>Sebestyén László</t>
  </si>
  <si>
    <t>Jászárokszállás</t>
  </si>
  <si>
    <t>Fekete Sándor</t>
  </si>
  <si>
    <t>Balázs Zsolt</t>
  </si>
  <si>
    <t>Bárdosné Rácz Erzsébet</t>
  </si>
  <si>
    <t>Csécse</t>
  </si>
  <si>
    <t>Gáspár Tamás</t>
  </si>
  <si>
    <t>Fehér Péter</t>
  </si>
  <si>
    <t>Domoszló</t>
  </si>
  <si>
    <t>Hegedüs István</t>
  </si>
  <si>
    <t>Mezőkeresztes</t>
  </si>
  <si>
    <t>Péter Zoltán</t>
  </si>
  <si>
    <t>Rigó Edit</t>
  </si>
  <si>
    <t>Szentendre</t>
  </si>
  <si>
    <t>Faragó György</t>
  </si>
  <si>
    <t>Iflinger László</t>
  </si>
  <si>
    <t>Szabó István</t>
  </si>
  <si>
    <t>Jaczkó Lajos</t>
  </si>
  <si>
    <t>Magos Henrik Milán</t>
  </si>
  <si>
    <t>Lakatos Péter</t>
  </si>
  <si>
    <t>Verseg</t>
  </si>
  <si>
    <t>Illés László</t>
  </si>
  <si>
    <t>Gál Péter</t>
  </si>
  <si>
    <t>Kulisják Ádám</t>
  </si>
  <si>
    <t>Bertók Richárd</t>
  </si>
  <si>
    <t>Őrhalom</t>
  </si>
  <si>
    <t>Bárdos Attila Imre</t>
  </si>
  <si>
    <t>Gergely Botond</t>
  </si>
  <si>
    <t>Borsosberény</t>
  </si>
  <si>
    <t>Rostár András</t>
  </si>
  <si>
    <t>Szada</t>
  </si>
  <si>
    <t>Vincze Tamás</t>
  </si>
  <si>
    <t>Eger</t>
  </si>
  <si>
    <t>Szénási Szilviusz</t>
  </si>
  <si>
    <t>Aszód</t>
  </si>
  <si>
    <t>Peszeki Péter</t>
  </si>
  <si>
    <t>Őrbottyán</t>
  </si>
  <si>
    <t>Kevés v.</t>
  </si>
  <si>
    <t>"Method feeder kategória"</t>
  </si>
  <si>
    <t>Orosz Miklós</t>
  </si>
  <si>
    <t>Nagy Dániel</t>
  </si>
  <si>
    <t>Vizslás</t>
  </si>
  <si>
    <t>D</t>
  </si>
  <si>
    <t>B</t>
  </si>
  <si>
    <t>A</t>
  </si>
  <si>
    <t>E</t>
  </si>
  <si>
    <t>H</t>
  </si>
  <si>
    <t>C</t>
  </si>
  <si>
    <t>J</t>
  </si>
  <si>
    <t>I</t>
  </si>
  <si>
    <t>G</t>
  </si>
  <si>
    <t>K</t>
  </si>
  <si>
    <t>L</t>
  </si>
  <si>
    <t>F</t>
  </si>
  <si>
    <t xml:space="preserve">                                               2. forduló</t>
  </si>
  <si>
    <t>1.f: 31500</t>
  </si>
  <si>
    <t>1.f: 41500</t>
  </si>
  <si>
    <t>1.f: 23000</t>
  </si>
  <si>
    <t>1.f: 0</t>
  </si>
  <si>
    <t>1.f: 5000</t>
  </si>
  <si>
    <t>Faragó Attila</t>
  </si>
  <si>
    <t>Győr</t>
  </si>
  <si>
    <t>Takács András</t>
  </si>
  <si>
    <t>Termecki Gábor</t>
  </si>
  <si>
    <t>Osli</t>
  </si>
  <si>
    <t>Pintér Tamás</t>
  </si>
  <si>
    <t>Verpelét</t>
  </si>
  <si>
    <t>Abonyi György</t>
  </si>
  <si>
    <t>Mosonmagyaróvár</t>
  </si>
  <si>
    <t>Zséder András</t>
  </si>
  <si>
    <t>Abda</t>
  </si>
  <si>
    <t>Dallos Gábor</t>
  </si>
  <si>
    <t>Dallos Attila</t>
  </si>
  <si>
    <t>Bélapátfalva</t>
  </si>
  <si>
    <t>Kürtössy László</t>
  </si>
  <si>
    <t>Szigethalom</t>
  </si>
  <si>
    <t>Tóth István</t>
  </si>
  <si>
    <t>Rácz Máté</t>
  </si>
  <si>
    <t/>
  </si>
  <si>
    <t>Kárász Nándor</t>
  </si>
  <si>
    <t>Beracko Miroslav</t>
  </si>
  <si>
    <t>Rimaszombat (SK)</t>
  </si>
  <si>
    <t>Nagy István</t>
  </si>
  <si>
    <t>Tari István</t>
  </si>
  <si>
    <t>Pásztó</t>
  </si>
  <si>
    <t>Gúth Patrik</t>
  </si>
  <si>
    <t>Patvarc</t>
  </si>
  <si>
    <t>free:</t>
  </si>
  <si>
    <t>ΣSZK:</t>
  </si>
  <si>
    <t>Marosi Péter</t>
  </si>
  <si>
    <t>Gyimesi Bence</t>
  </si>
  <si>
    <t>Szigetszentmárton</t>
  </si>
  <si>
    <t>Kapuszta Mihály</t>
  </si>
  <si>
    <t>Zagyvaszántó</t>
  </si>
  <si>
    <t>Nagy Kristóf</t>
  </si>
  <si>
    <t>Antal Marcel</t>
  </si>
  <si>
    <t>Orosz Zsolt</t>
  </si>
  <si>
    <t>Sajószentpéter</t>
  </si>
  <si>
    <t>Rézműves János</t>
  </si>
  <si>
    <t>Nagy György</t>
  </si>
  <si>
    <t>⑬</t>
  </si>
  <si>
    <t>XXIV. TÓPARTI RANDEVÚ - ST. HUBERTUS KUPA</t>
  </si>
  <si>
    <t>Maconka Barátai '22 Szuperkupa 3. forduló</t>
  </si>
  <si>
    <t>2022.06.11. szombat</t>
  </si>
  <si>
    <t>3. fordulóban összesen:</t>
  </si>
  <si>
    <t>3. fordulóban:</t>
  </si>
  <si>
    <t>Germuska Gergő</t>
  </si>
  <si>
    <t>Miklósi László</t>
  </si>
  <si>
    <t>Kazár</t>
  </si>
  <si>
    <t>Gyalus Fortély Pisty</t>
  </si>
  <si>
    <t>Bódi Csaba</t>
  </si>
  <si>
    <t>Mezőtúr</t>
  </si>
  <si>
    <t>Palócz Pál</t>
  </si>
  <si>
    <t>Peteh István</t>
  </si>
  <si>
    <t>Endrész Zoltán</t>
  </si>
  <si>
    <t>Pocsai Márk</t>
  </si>
  <si>
    <t>Kerepes</t>
  </si>
  <si>
    <t>Hódmezővásárhely</t>
  </si>
  <si>
    <t>Boda Kristóf József</t>
  </si>
  <si>
    <t>Üllő</t>
  </si>
  <si>
    <t>free</t>
  </si>
  <si>
    <t>Veres István Gábor</t>
  </si>
  <si>
    <t>fő - gyermek kategória</t>
  </si>
  <si>
    <t xml:space="preserve">         3. forduló</t>
  </si>
  <si>
    <t xml:space="preserve">                                      3. forduló</t>
  </si>
  <si>
    <t xml:space="preserve">                                               3. forduló</t>
  </si>
  <si>
    <t>Takács Gábor</t>
  </si>
  <si>
    <t>Horváth Sándor</t>
  </si>
  <si>
    <t>"D" szektor</t>
  </si>
  <si>
    <t>"D" szektor végeredménye</t>
  </si>
  <si>
    <t>Összes ifjúsági</t>
  </si>
  <si>
    <t>Ifjúsági korosztály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</si>
</sst>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8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i/>
      <sz val="11"/>
      <color theme="9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4"/>
      <color rgb="FF0070C0"/>
      <name val="Rockwell Extra Bold"/>
      <family val="1"/>
    </font>
    <font>
      <b/>
      <sz val="11"/>
      <color theme="6" tint="-0.499984740745262"/>
      <name val="Calibri"/>
      <family val="2"/>
      <charset val="238"/>
      <scheme val="minor"/>
    </font>
    <font>
      <sz val="11"/>
      <color theme="6" tint="-0.499984740745262"/>
      <name val="Calibri"/>
      <family val="2"/>
      <charset val="238"/>
      <scheme val="minor"/>
    </font>
    <font>
      <b/>
      <i/>
      <sz val="11"/>
      <color theme="6" tint="-0.499984740745262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3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  <font>
      <b/>
      <i/>
      <u/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Wingdings"/>
      <charset val="2"/>
    </font>
    <font>
      <b/>
      <sz val="10"/>
      <name val="Calibri"/>
      <family val="2"/>
      <charset val="238"/>
    </font>
    <font>
      <b/>
      <sz val="10"/>
      <name val="Arial"/>
      <family val="2"/>
      <charset val="238"/>
    </font>
    <font>
      <sz val="11"/>
      <color theme="1"/>
      <name val="Wingdings"/>
      <charset val="2"/>
    </font>
    <font>
      <sz val="11"/>
      <color theme="1"/>
      <name val="Arial"/>
      <family val="2"/>
      <charset val="238"/>
    </font>
    <font>
      <b/>
      <sz val="14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name val="Wingdings"/>
      <charset val="2"/>
    </font>
    <font>
      <b/>
      <sz val="9"/>
      <name val="Calibri"/>
      <family val="2"/>
      <charset val="238"/>
    </font>
    <font>
      <b/>
      <sz val="9"/>
      <name val="Arial"/>
      <family val="2"/>
      <charset val="238"/>
    </font>
    <font>
      <sz val="9.9"/>
      <color theme="1"/>
      <name val="Calibri"/>
      <family val="2"/>
      <charset val="238"/>
    </font>
    <font>
      <sz val="9.9"/>
      <color theme="1"/>
      <name val="Wingdings"/>
      <charset val="2"/>
    </font>
    <font>
      <sz val="8.9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2"/>
      <color rgb="FF008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6600"/>
      <name val="Calibri"/>
      <family val="2"/>
      <charset val="238"/>
    </font>
    <font>
      <b/>
      <sz val="12"/>
      <color rgb="FF339966"/>
      <name val="Calibri"/>
      <family val="2"/>
      <charset val="238"/>
    </font>
    <font>
      <b/>
      <sz val="11"/>
      <color rgb="FF0000FF"/>
      <name val="Calibri"/>
      <family val="2"/>
      <charset val="238"/>
    </font>
    <font>
      <b/>
      <sz val="11"/>
      <color rgb="FF3366FF"/>
      <name val="Calibri"/>
      <family val="2"/>
      <charset val="238"/>
    </font>
    <font>
      <b/>
      <sz val="11"/>
      <color rgb="FFFF00FF"/>
      <name val="Calibri"/>
      <family val="2"/>
      <charset val="238"/>
    </font>
    <font>
      <b/>
      <sz val="11"/>
      <color rgb="FF008000"/>
      <name val="Calibri"/>
      <family val="2"/>
      <charset val="238"/>
    </font>
    <font>
      <b/>
      <sz val="11"/>
      <color rgb="FFFF66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993300"/>
      <name val="Calibri"/>
      <family val="2"/>
      <charset val="238"/>
    </font>
    <font>
      <b/>
      <sz val="11"/>
      <color rgb="FF339966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0"/>
      <color rgb="FF0000FF"/>
      <name val="Calibri"/>
      <family val="2"/>
      <charset val="238"/>
    </font>
    <font>
      <b/>
      <sz val="10"/>
      <color rgb="FF339966"/>
      <name val="Calibri"/>
      <family val="2"/>
      <charset val="238"/>
    </font>
    <font>
      <b/>
      <sz val="10"/>
      <color rgb="FFFF99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993366"/>
      <name val="Calibri"/>
      <family val="2"/>
      <charset val="238"/>
    </font>
    <font>
      <b/>
      <sz val="11"/>
      <color rgb="FF000080"/>
      <name val="Calibri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7FEE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7FF4F"/>
        <bgColor indexed="64"/>
      </patternFill>
    </fill>
    <fill>
      <gradientFill degree="90">
        <stop position="0">
          <color rgb="FFA7FF4F"/>
        </stop>
        <stop position="1">
          <color rgb="FFFFFF00"/>
        </stop>
      </gradientFill>
    </fill>
    <fill>
      <gradientFill degree="90">
        <stop position="0">
          <color theme="0"/>
        </stop>
        <stop position="1">
          <color rgb="FFFFFF00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3" fontId="0" fillId="0" borderId="3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7" fillId="0" borderId="0" xfId="0" applyFont="1"/>
    <xf numFmtId="3" fontId="3" fillId="0" borderId="0" xfId="0" applyNumberFormat="1" applyFont="1" applyBorder="1" applyAlignment="1">
      <alignment vertical="center"/>
    </xf>
    <xf numFmtId="0" fontId="9" fillId="0" borderId="0" xfId="0" applyFont="1"/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0" fontId="8" fillId="0" borderId="19" xfId="0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10" fillId="0" borderId="1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/>
    </xf>
    <xf numFmtId="3" fontId="0" fillId="0" borderId="0" xfId="0" applyNumberFormat="1" applyBorder="1"/>
    <xf numFmtId="3" fontId="0" fillId="0" borderId="0" xfId="0" applyNumberFormat="1" applyFill="1" applyBorder="1"/>
    <xf numFmtId="3" fontId="0" fillId="0" borderId="0" xfId="0" applyNumberFormat="1"/>
    <xf numFmtId="3" fontId="0" fillId="0" borderId="1" xfId="0" applyNumberFormat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3" fontId="0" fillId="0" borderId="0" xfId="0" applyNumberFormat="1" applyAlignment="1" applyProtection="1">
      <alignment vertical="center"/>
      <protection locked="0"/>
    </xf>
    <xf numFmtId="3" fontId="0" fillId="0" borderId="0" xfId="0" applyNumberFormat="1" applyAlignment="1">
      <alignment vertical="center"/>
    </xf>
    <xf numFmtId="3" fontId="8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5" borderId="4" xfId="0" applyFont="1" applyFill="1" applyBorder="1" applyAlignment="1">
      <alignment horizontal="right" vertical="center"/>
    </xf>
    <xf numFmtId="0" fontId="12" fillId="5" borderId="16" xfId="0" applyFont="1" applyFill="1" applyBorder="1" applyAlignment="1">
      <alignment horizontal="left" vertical="center"/>
    </xf>
    <xf numFmtId="22" fontId="0" fillId="0" borderId="0" xfId="0" applyNumberFormat="1" applyAlignment="1">
      <alignment horizontal="right"/>
    </xf>
    <xf numFmtId="0" fontId="8" fillId="2" borderId="3" xfId="0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right" vertical="center"/>
      <protection locked="0"/>
    </xf>
    <xf numFmtId="0" fontId="0" fillId="6" borderId="0" xfId="0" applyFill="1"/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7" xfId="0" applyFill="1" applyBorder="1"/>
    <xf numFmtId="0" fontId="1" fillId="0" borderId="27" xfId="0" applyFont="1" applyFill="1" applyBorder="1"/>
    <xf numFmtId="0" fontId="11" fillId="0" borderId="27" xfId="0" applyFont="1" applyFill="1" applyBorder="1"/>
    <xf numFmtId="0" fontId="0" fillId="0" borderId="27" xfId="0" applyFill="1" applyBorder="1" applyAlignment="1">
      <alignment horizontal="right"/>
    </xf>
    <xf numFmtId="0" fontId="0" fillId="0" borderId="32" xfId="0" applyFill="1" applyBorder="1"/>
    <xf numFmtId="0" fontId="0" fillId="0" borderId="1" xfId="0" applyBorder="1" applyAlignment="1">
      <alignment horizontal="center" vertical="center"/>
    </xf>
    <xf numFmtId="0" fontId="1" fillId="0" borderId="32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25" xfId="0" applyFill="1" applyBorder="1" applyAlignment="1">
      <alignment vertical="center"/>
    </xf>
    <xf numFmtId="0" fontId="0" fillId="7" borderId="16" xfId="0" applyFill="1" applyBorder="1" applyAlignment="1">
      <alignment vertical="center"/>
    </xf>
    <xf numFmtId="0" fontId="0" fillId="7" borderId="23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vertical="center"/>
    </xf>
    <xf numFmtId="0" fontId="1" fillId="7" borderId="38" xfId="0" applyFont="1" applyFill="1" applyBorder="1" applyAlignment="1">
      <alignment vertical="center"/>
    </xf>
    <xf numFmtId="0" fontId="0" fillId="7" borderId="36" xfId="0" applyFill="1" applyBorder="1" applyAlignment="1">
      <alignment vertical="center"/>
    </xf>
    <xf numFmtId="0" fontId="0" fillId="7" borderId="22" xfId="0" applyFill="1" applyBorder="1" applyAlignment="1">
      <alignment vertical="center"/>
    </xf>
    <xf numFmtId="0" fontId="1" fillId="7" borderId="39" xfId="0" applyFont="1" applyFill="1" applyBorder="1" applyAlignment="1">
      <alignment vertical="center"/>
    </xf>
    <xf numFmtId="0" fontId="1" fillId="7" borderId="22" xfId="0" applyFont="1" applyFill="1" applyBorder="1" applyAlignment="1">
      <alignment vertical="center"/>
    </xf>
    <xf numFmtId="0" fontId="1" fillId="7" borderId="15" xfId="0" applyFont="1" applyFill="1" applyBorder="1" applyAlignment="1">
      <alignment vertical="center"/>
    </xf>
    <xf numFmtId="0" fontId="1" fillId="0" borderId="4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8" fillId="7" borderId="1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7" borderId="4" xfId="0" applyFont="1" applyFill="1" applyBorder="1" applyAlignment="1">
      <alignment vertical="center"/>
    </xf>
    <xf numFmtId="0" fontId="0" fillId="7" borderId="22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7" borderId="45" xfId="0" applyFill="1" applyBorder="1" applyAlignment="1">
      <alignment horizontal="right" vertical="center"/>
    </xf>
    <xf numFmtId="0" fontId="0" fillId="7" borderId="47" xfId="0" applyFill="1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7" borderId="38" xfId="0" applyFont="1" applyFill="1" applyBorder="1" applyAlignment="1">
      <alignment vertical="center"/>
    </xf>
    <xf numFmtId="0" fontId="0" fillId="7" borderId="39" xfId="0" applyFill="1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" fillId="7" borderId="46" xfId="0" applyFont="1" applyFill="1" applyBorder="1" applyAlignment="1">
      <alignment vertical="center"/>
    </xf>
    <xf numFmtId="0" fontId="0" fillId="7" borderId="46" xfId="0" applyFill="1" applyBorder="1" applyAlignment="1">
      <alignment vertical="center"/>
    </xf>
    <xf numFmtId="0" fontId="0" fillId="7" borderId="38" xfId="0" applyFill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1" fillId="0" borderId="43" xfId="0" applyNumberFormat="1" applyFont="1" applyBorder="1" applyAlignment="1">
      <alignment horizontal="right" vertical="center"/>
    </xf>
    <xf numFmtId="3" fontId="11" fillId="0" borderId="43" xfId="0" applyNumberFormat="1" applyFont="1" applyBorder="1" applyAlignment="1">
      <alignment horizontal="right" vertical="center"/>
    </xf>
    <xf numFmtId="3" fontId="1" fillId="0" borderId="44" xfId="0" applyNumberFormat="1" applyFont="1" applyBorder="1" applyAlignment="1">
      <alignment horizontal="right" vertical="center"/>
    </xf>
    <xf numFmtId="3" fontId="11" fillId="0" borderId="44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5" borderId="1" xfId="0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 wrapText="1"/>
    </xf>
    <xf numFmtId="0" fontId="12" fillId="5" borderId="2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top"/>
    </xf>
    <xf numFmtId="0" fontId="8" fillId="0" borderId="0" xfId="0" applyFont="1" applyAlignment="1" applyProtection="1">
      <alignment horizontal="right"/>
      <protection locked="0"/>
    </xf>
    <xf numFmtId="0" fontId="8" fillId="8" borderId="0" xfId="0" applyFont="1" applyFill="1" applyAlignment="1" applyProtection="1">
      <alignment horizontal="left" vertical="center"/>
      <protection locked="0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horizontal="center" vertical="center"/>
    </xf>
    <xf numFmtId="0" fontId="8" fillId="8" borderId="0" xfId="0" applyFont="1" applyFill="1" applyAlignment="1">
      <alignment vertical="center"/>
    </xf>
    <xf numFmtId="0" fontId="0" fillId="8" borderId="0" xfId="0" applyFill="1" applyAlignment="1" applyProtection="1">
      <alignment horizontal="left" vertical="center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8" borderId="3" xfId="0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vertical="center"/>
      <protection locked="0"/>
    </xf>
    <xf numFmtId="0" fontId="22" fillId="8" borderId="0" xfId="0" applyFont="1" applyFill="1" applyAlignment="1">
      <alignment vertical="center"/>
    </xf>
    <xf numFmtId="0" fontId="21" fillId="8" borderId="0" xfId="0" applyFont="1" applyFill="1" applyAlignment="1">
      <alignment horizontal="right" vertical="center"/>
    </xf>
    <xf numFmtId="0" fontId="7" fillId="8" borderId="0" xfId="0" applyFont="1" applyFill="1" applyAlignment="1">
      <alignment horizontal="left" vertical="center"/>
    </xf>
    <xf numFmtId="0" fontId="23" fillId="8" borderId="0" xfId="0" applyFont="1" applyFill="1" applyAlignment="1">
      <alignment horizontal="left" vertical="center"/>
    </xf>
    <xf numFmtId="0" fontId="24" fillId="8" borderId="0" xfId="0" applyFont="1" applyFill="1" applyAlignment="1">
      <alignment horizontal="right" vertical="center"/>
    </xf>
    <xf numFmtId="0" fontId="0" fillId="9" borderId="0" xfId="0" applyFill="1" applyAlignment="1">
      <alignment vertical="center"/>
    </xf>
    <xf numFmtId="0" fontId="0" fillId="9" borderId="0" xfId="0" applyFill="1" applyAlignment="1">
      <alignment horizontal="center" vertical="center"/>
    </xf>
    <xf numFmtId="0" fontId="0" fillId="9" borderId="5" xfId="0" applyFill="1" applyBorder="1" applyAlignment="1">
      <alignment horizontal="right" vertical="center"/>
    </xf>
    <xf numFmtId="0" fontId="0" fillId="9" borderId="5" xfId="0" applyFill="1" applyBorder="1" applyAlignment="1">
      <alignment vertical="center"/>
    </xf>
    <xf numFmtId="0" fontId="0" fillId="9" borderId="5" xfId="0" applyFill="1" applyBorder="1" applyAlignment="1">
      <alignment horizontal="left" vertical="center"/>
    </xf>
    <xf numFmtId="0" fontId="0" fillId="9" borderId="24" xfId="0" applyFill="1" applyBorder="1" applyAlignment="1">
      <alignment horizontal="center" vertical="center"/>
    </xf>
    <xf numFmtId="0" fontId="0" fillId="9" borderId="18" xfId="0" applyFill="1" applyBorder="1" applyAlignment="1">
      <alignment horizontal="right" vertical="center"/>
    </xf>
    <xf numFmtId="0" fontId="0" fillId="9" borderId="23" xfId="0" applyFill="1" applyBorder="1" applyAlignment="1">
      <alignment horizontal="left" vertical="center"/>
    </xf>
    <xf numFmtId="0" fontId="0" fillId="9" borderId="5" xfId="0" applyFill="1" applyBorder="1" applyAlignment="1">
      <alignment horizontal="center" vertical="center"/>
    </xf>
    <xf numFmtId="0" fontId="0" fillId="9" borderId="1" xfId="0" applyFill="1" applyBorder="1" applyAlignment="1" applyProtection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0" fillId="10" borderId="0" xfId="0" applyFill="1"/>
    <xf numFmtId="0" fontId="0" fillId="10" borderId="0" xfId="0" applyFill="1" applyAlignment="1">
      <alignment horizontal="right"/>
    </xf>
    <xf numFmtId="0" fontId="11" fillId="10" borderId="0" xfId="0" applyFont="1" applyFill="1" applyAlignment="1">
      <alignment horizontal="right"/>
    </xf>
    <xf numFmtId="3" fontId="11" fillId="10" borderId="0" xfId="0" applyNumberFormat="1" applyFont="1" applyFill="1" applyAlignment="1">
      <alignment horizontal="right"/>
    </xf>
    <xf numFmtId="0" fontId="0" fillId="10" borderId="0" xfId="0" applyFill="1" applyAlignment="1">
      <alignment vertical="center"/>
    </xf>
    <xf numFmtId="0" fontId="8" fillId="10" borderId="0" xfId="0" applyFont="1" applyFill="1" applyAlignment="1">
      <alignment horizontal="right" vertical="center"/>
    </xf>
    <xf numFmtId="0" fontId="1" fillId="10" borderId="0" xfId="0" applyFont="1" applyFill="1" applyAlignment="1">
      <alignment horizontal="right" vertical="center"/>
    </xf>
    <xf numFmtId="0" fontId="8" fillId="10" borderId="0" xfId="0" applyFont="1" applyFill="1" applyAlignment="1">
      <alignment vertical="center"/>
    </xf>
    <xf numFmtId="0" fontId="0" fillId="10" borderId="0" xfId="0" applyFill="1" applyAlignment="1">
      <alignment horizontal="right" vertical="center"/>
    </xf>
    <xf numFmtId="3" fontId="1" fillId="10" borderId="0" xfId="0" applyNumberFormat="1" applyFont="1" applyFill="1" applyAlignment="1">
      <alignment vertical="center"/>
    </xf>
    <xf numFmtId="0" fontId="0" fillId="10" borderId="0" xfId="0" applyFill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/>
    <xf numFmtId="0" fontId="0" fillId="0" borderId="0" xfId="0" applyNumberFormat="1" applyBorder="1"/>
    <xf numFmtId="0" fontId="0" fillId="0" borderId="0" xfId="0" applyNumberFormat="1" applyFill="1" applyBorder="1"/>
    <xf numFmtId="0" fontId="0" fillId="0" borderId="0" xfId="0" applyNumberFormat="1"/>
    <xf numFmtId="0" fontId="8" fillId="7" borderId="34" xfId="0" applyFont="1" applyFill="1" applyBorder="1" applyAlignment="1">
      <alignment vertical="center"/>
    </xf>
    <xf numFmtId="0" fontId="8" fillId="7" borderId="35" xfId="0" applyFont="1" applyFill="1" applyBorder="1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10" borderId="0" xfId="0" applyFont="1" applyFill="1" applyAlignment="1">
      <alignment horizontal="left" vertical="center"/>
    </xf>
    <xf numFmtId="0" fontId="0" fillId="10" borderId="0" xfId="0" applyFont="1" applyFill="1" applyAlignment="1">
      <alignment horizontal="right" vertical="center"/>
    </xf>
    <xf numFmtId="0" fontId="0" fillId="7" borderId="40" xfId="0" applyFill="1" applyBorder="1" applyAlignment="1">
      <alignment horizontal="right" vertical="center"/>
    </xf>
    <xf numFmtId="0" fontId="0" fillId="7" borderId="42" xfId="0" applyFill="1" applyBorder="1" applyAlignment="1">
      <alignment vertical="center"/>
    </xf>
    <xf numFmtId="0" fontId="1" fillId="7" borderId="41" xfId="0" applyFont="1" applyFill="1" applyBorder="1" applyAlignment="1">
      <alignment vertical="center"/>
    </xf>
    <xf numFmtId="0" fontId="0" fillId="7" borderId="41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7" fillId="8" borderId="0" xfId="0" applyFont="1" applyFill="1" applyAlignment="1">
      <alignment vertical="center"/>
    </xf>
    <xf numFmtId="0" fontId="0" fillId="10" borderId="0" xfId="0" applyFill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0" fillId="7" borderId="49" xfId="0" applyFill="1" applyBorder="1" applyAlignment="1">
      <alignment vertical="center"/>
    </xf>
    <xf numFmtId="0" fontId="1" fillId="7" borderId="50" xfId="0" applyFont="1" applyFill="1" applyBorder="1" applyAlignment="1">
      <alignment vertical="center"/>
    </xf>
    <xf numFmtId="0" fontId="1" fillId="7" borderId="51" xfId="0" applyFont="1" applyFill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1" fillId="7" borderId="42" xfId="0" applyFont="1" applyFill="1" applyBorder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26" fillId="7" borderId="36" xfId="0" applyFont="1" applyFill="1" applyBorder="1" applyAlignment="1">
      <alignment horizontal="right" vertical="center"/>
    </xf>
    <xf numFmtId="0" fontId="0" fillId="10" borderId="0" xfId="0" applyFill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5" fillId="0" borderId="14" xfId="0" applyFont="1" applyBorder="1" applyAlignment="1">
      <alignment horizontal="center"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11" borderId="6" xfId="0" applyFill="1" applyBorder="1" applyAlignment="1">
      <alignment horizontal="right" vertical="center"/>
    </xf>
    <xf numFmtId="0" fontId="0" fillId="11" borderId="7" xfId="0" applyFill="1" applyBorder="1" applyAlignment="1">
      <alignment horizontal="right" vertical="center"/>
    </xf>
    <xf numFmtId="0" fontId="0" fillId="11" borderId="7" xfId="0" applyFill="1" applyBorder="1" applyAlignment="1">
      <alignment horizontal="left" vertical="center"/>
    </xf>
    <xf numFmtId="0" fontId="0" fillId="11" borderId="7" xfId="0" applyFill="1" applyBorder="1" applyAlignment="1">
      <alignment vertical="center"/>
    </xf>
    <xf numFmtId="0" fontId="0" fillId="11" borderId="8" xfId="0" applyFill="1" applyBorder="1" applyAlignment="1">
      <alignment vertical="center"/>
    </xf>
    <xf numFmtId="0" fontId="0" fillId="11" borderId="9" xfId="0" applyFill="1" applyBorder="1" applyAlignment="1">
      <alignment horizontal="right" vertical="center"/>
    </xf>
    <xf numFmtId="0" fontId="0" fillId="11" borderId="0" xfId="0" applyFill="1" applyBorder="1" applyAlignment="1">
      <alignment horizontal="right" vertical="center"/>
    </xf>
    <xf numFmtId="0" fontId="0" fillId="11" borderId="0" xfId="0" applyFill="1" applyBorder="1" applyAlignment="1">
      <alignment horizontal="left" vertical="center"/>
    </xf>
    <xf numFmtId="0" fontId="0" fillId="11" borderId="0" xfId="0" applyFill="1" applyBorder="1" applyAlignment="1">
      <alignment vertical="center"/>
    </xf>
    <xf numFmtId="0" fontId="0" fillId="11" borderId="10" xfId="0" applyFill="1" applyBorder="1" applyAlignment="1">
      <alignment vertical="center"/>
    </xf>
    <xf numFmtId="0" fontId="0" fillId="11" borderId="11" xfId="0" applyFill="1" applyBorder="1" applyAlignment="1">
      <alignment horizontal="right" vertical="center"/>
    </xf>
    <xf numFmtId="0" fontId="0" fillId="11" borderId="12" xfId="0" applyFill="1" applyBorder="1" applyAlignment="1">
      <alignment horizontal="right" vertical="center"/>
    </xf>
    <xf numFmtId="0" fontId="0" fillId="11" borderId="12" xfId="0" applyFill="1" applyBorder="1" applyAlignment="1">
      <alignment horizontal="left" vertical="center"/>
    </xf>
    <xf numFmtId="0" fontId="0" fillId="11" borderId="12" xfId="0" applyFill="1" applyBorder="1" applyAlignment="1">
      <alignment vertical="center"/>
    </xf>
    <xf numFmtId="0" fontId="0" fillId="11" borderId="13" xfId="0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10" fillId="0" borderId="1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25" fillId="2" borderId="1" xfId="0" applyFont="1" applyFill="1" applyBorder="1" applyAlignment="1">
      <alignment horizontal="right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2" fillId="0" borderId="1" xfId="0" applyFont="1" applyBorder="1" applyAlignment="1">
      <alignment horizontal="right" vertical="center"/>
    </xf>
    <xf numFmtId="0" fontId="25" fillId="2" borderId="16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right" vertical="center"/>
    </xf>
    <xf numFmtId="3" fontId="33" fillId="0" borderId="0" xfId="0" applyNumberFormat="1" applyFont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35" fillId="8" borderId="0" xfId="0" applyFont="1" applyFill="1" applyAlignment="1">
      <alignment vertical="center"/>
    </xf>
    <xf numFmtId="0" fontId="39" fillId="8" borderId="0" xfId="0" applyFont="1" applyFill="1" applyAlignment="1">
      <alignment vertical="center"/>
    </xf>
    <xf numFmtId="0" fontId="36" fillId="8" borderId="0" xfId="0" applyFont="1" applyFill="1" applyAlignment="1">
      <alignment vertical="center"/>
    </xf>
    <xf numFmtId="0" fontId="13" fillId="8" borderId="0" xfId="0" applyFont="1" applyFill="1" applyBorder="1" applyAlignment="1">
      <alignment horizontal="right" vertical="center"/>
    </xf>
    <xf numFmtId="3" fontId="38" fillId="8" borderId="0" xfId="0" applyNumberFormat="1" applyFont="1" applyFill="1" applyBorder="1" applyAlignment="1">
      <alignment horizontal="center" vertical="center"/>
    </xf>
    <xf numFmtId="0" fontId="34" fillId="8" borderId="0" xfId="0" applyFont="1" applyFill="1" applyBorder="1" applyAlignment="1">
      <alignment vertical="center"/>
    </xf>
    <xf numFmtId="3" fontId="38" fillId="8" borderId="0" xfId="0" applyNumberFormat="1" applyFont="1" applyFill="1" applyBorder="1" applyAlignment="1">
      <alignment vertical="center"/>
    </xf>
    <xf numFmtId="3" fontId="37" fillId="8" borderId="0" xfId="0" applyNumberFormat="1" applyFont="1" applyFill="1" applyBorder="1" applyAlignment="1">
      <alignment vertical="center"/>
    </xf>
    <xf numFmtId="3" fontId="38" fillId="8" borderId="22" xfId="0" applyNumberFormat="1" applyFont="1" applyFill="1" applyBorder="1" applyAlignment="1">
      <alignment horizontal="center" vertical="center"/>
    </xf>
    <xf numFmtId="3" fontId="38" fillId="8" borderId="22" xfId="0" applyNumberFormat="1" applyFont="1" applyFill="1" applyBorder="1" applyAlignment="1">
      <alignment vertical="center"/>
    </xf>
    <xf numFmtId="0" fontId="10" fillId="0" borderId="0" xfId="0" applyFont="1"/>
    <xf numFmtId="3" fontId="0" fillId="5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8" borderId="0" xfId="0" applyNumberFormat="1" applyFill="1" applyAlignment="1">
      <alignment horizontal="right" vertical="center"/>
    </xf>
    <xf numFmtId="0" fontId="40" fillId="8" borderId="0" xfId="0" applyFont="1" applyFill="1" applyAlignment="1">
      <alignment horizontal="right" vertical="center"/>
    </xf>
    <xf numFmtId="3" fontId="40" fillId="8" borderId="0" xfId="0" applyNumberFormat="1" applyFont="1" applyFill="1" applyBorder="1" applyAlignment="1">
      <alignment horizontal="right" vertical="center"/>
    </xf>
    <xf numFmtId="3" fontId="40" fillId="8" borderId="22" xfId="0" applyNumberFormat="1" applyFont="1" applyFill="1" applyBorder="1" applyAlignment="1">
      <alignment horizontal="right" vertical="center"/>
    </xf>
    <xf numFmtId="0" fontId="35" fillId="13" borderId="0" xfId="0" applyFont="1" applyFill="1" applyAlignment="1">
      <alignment horizontal="center"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8" fillId="14" borderId="0" xfId="0" applyNumberFormat="1" applyFont="1" applyFill="1" applyBorder="1" applyAlignment="1">
      <alignment horizontal="center" vertical="center"/>
    </xf>
    <xf numFmtId="3" fontId="38" fillId="12" borderId="0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 wrapText="1"/>
    </xf>
    <xf numFmtId="0" fontId="12" fillId="7" borderId="4" xfId="0" applyFont="1" applyFill="1" applyBorder="1" applyAlignment="1">
      <alignment vertical="center"/>
    </xf>
    <xf numFmtId="3" fontId="13" fillId="5" borderId="1" xfId="0" applyNumberFormat="1" applyFont="1" applyFill="1" applyBorder="1" applyAlignment="1">
      <alignment vertical="center"/>
    </xf>
    <xf numFmtId="3" fontId="25" fillId="5" borderId="1" xfId="0" applyNumberFormat="1" applyFont="1" applyFill="1" applyBorder="1" applyAlignment="1">
      <alignment vertical="center"/>
    </xf>
    <xf numFmtId="3" fontId="32" fillId="5" borderId="1" xfId="0" applyNumberFormat="1" applyFont="1" applyFill="1" applyBorder="1" applyAlignment="1">
      <alignment vertical="center"/>
    </xf>
    <xf numFmtId="0" fontId="48" fillId="2" borderId="18" xfId="0" applyFont="1" applyFill="1" applyBorder="1" applyAlignment="1">
      <alignment horizontal="center" vertical="center" wrapText="1"/>
    </xf>
    <xf numFmtId="3" fontId="48" fillId="2" borderId="55" xfId="0" applyNumberFormat="1" applyFont="1" applyFill="1" applyBorder="1" applyAlignment="1">
      <alignment horizontal="center" vertical="center" wrapText="1"/>
    </xf>
    <xf numFmtId="3" fontId="50" fillId="2" borderId="55" xfId="0" applyNumberFormat="1" applyFont="1" applyFill="1" applyBorder="1" applyAlignment="1">
      <alignment horizontal="center" vertical="center" wrapText="1"/>
    </xf>
    <xf numFmtId="3" fontId="50" fillId="2" borderId="16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3" fontId="14" fillId="0" borderId="1" xfId="0" applyNumberFormat="1" applyFont="1" applyBorder="1" applyAlignment="1" applyProtection="1">
      <alignment horizontal="right" vertical="center"/>
      <protection locked="0"/>
    </xf>
    <xf numFmtId="0" fontId="2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32" xfId="0" applyFont="1" applyFill="1" applyBorder="1" applyAlignment="1">
      <alignment horizontal="left"/>
    </xf>
    <xf numFmtId="0" fontId="0" fillId="0" borderId="31" xfId="0" applyBorder="1"/>
    <xf numFmtId="0" fontId="0" fillId="0" borderId="26" xfId="0" applyBorder="1"/>
    <xf numFmtId="0" fontId="0" fillId="0" borderId="29" xfId="0" applyBorder="1" applyAlignment="1">
      <alignment horizontal="left"/>
    </xf>
    <xf numFmtId="0" fontId="7" fillId="8" borderId="0" xfId="0" applyFont="1" applyFill="1" applyAlignment="1">
      <alignment horizontal="center" vertical="center"/>
    </xf>
    <xf numFmtId="3" fontId="7" fillId="8" borderId="0" xfId="0" applyNumberFormat="1" applyFont="1" applyFill="1" applyAlignment="1">
      <alignment horizontal="center" vertical="center"/>
    </xf>
    <xf numFmtId="3" fontId="10" fillId="8" borderId="0" xfId="0" applyNumberFormat="1" applyFont="1" applyFill="1" applyAlignment="1">
      <alignment horizontal="left" vertical="center"/>
    </xf>
    <xf numFmtId="0" fontId="25" fillId="2" borderId="5" xfId="0" applyFont="1" applyFill="1" applyBorder="1" applyAlignment="1">
      <alignment horizontal="right" vertical="center"/>
    </xf>
    <xf numFmtId="0" fontId="25" fillId="2" borderId="5" xfId="0" applyFont="1" applyFill="1" applyBorder="1" applyAlignment="1">
      <alignment vertical="center"/>
    </xf>
    <xf numFmtId="0" fontId="25" fillId="2" borderId="5" xfId="0" applyFont="1" applyFill="1" applyBorder="1" applyAlignment="1">
      <alignment horizontal="center" vertical="center"/>
    </xf>
    <xf numFmtId="0" fontId="48" fillId="2" borderId="56" xfId="0" applyFont="1" applyFill="1" applyBorder="1" applyAlignment="1">
      <alignment horizontal="center" vertical="center" wrapText="1"/>
    </xf>
    <xf numFmtId="3" fontId="48" fillId="2" borderId="57" xfId="0" applyNumberFormat="1" applyFont="1" applyFill="1" applyBorder="1" applyAlignment="1">
      <alignment horizontal="center" vertical="center" wrapText="1"/>
    </xf>
    <xf numFmtId="3" fontId="50" fillId="2" borderId="57" xfId="0" applyNumberFormat="1" applyFont="1" applyFill="1" applyBorder="1" applyAlignment="1">
      <alignment horizontal="center" vertical="center" wrapText="1"/>
    </xf>
    <xf numFmtId="3" fontId="50" fillId="2" borderId="23" xfId="0" applyNumberFormat="1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/>
    </xf>
    <xf numFmtId="3" fontId="0" fillId="5" borderId="1" xfId="0" applyNumberForma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8" fillId="0" borderId="1" xfId="0" applyFont="1" applyBorder="1"/>
    <xf numFmtId="0" fontId="8" fillId="0" borderId="28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0" borderId="1" xfId="0" applyNumberFormat="1" applyFont="1" applyBorder="1"/>
    <xf numFmtId="0" fontId="0" fillId="0" borderId="1" xfId="0" applyFill="1" applyBorder="1"/>
    <xf numFmtId="0" fontId="10" fillId="0" borderId="0" xfId="0" applyFont="1" applyAlignment="1" applyProtection="1">
      <alignment vertical="center"/>
      <protection locked="0"/>
    </xf>
    <xf numFmtId="3" fontId="10" fillId="5" borderId="1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76" fillId="8" borderId="0" xfId="0" applyFont="1" applyFill="1" applyAlignment="1">
      <alignment vertical="center"/>
    </xf>
    <xf numFmtId="0" fontId="0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0" fillId="8" borderId="0" xfId="0" applyFont="1" applyFill="1" applyAlignment="1">
      <alignment horizontal="center" vertical="center"/>
    </xf>
    <xf numFmtId="0" fontId="0" fillId="8" borderId="0" xfId="0" applyFont="1" applyFill="1" applyAlignment="1">
      <alignment horizontal="right" vertical="center"/>
    </xf>
    <xf numFmtId="0" fontId="11" fillId="8" borderId="0" xfId="0" applyFont="1" applyFill="1" applyAlignment="1">
      <alignment horizontal="right" vertical="center"/>
    </xf>
    <xf numFmtId="0" fontId="11" fillId="8" borderId="0" xfId="0" applyFont="1" applyFill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0" fillId="0" borderId="16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77" fillId="0" borderId="1" xfId="0" applyFont="1" applyFill="1" applyBorder="1" applyAlignment="1" applyProtection="1">
      <alignment vertical="center"/>
      <protection locked="0"/>
    </xf>
    <xf numFmtId="0" fontId="77" fillId="0" borderId="1" xfId="0" applyFont="1" applyFill="1" applyBorder="1" applyAlignment="1" applyProtection="1">
      <alignment horizontal="left" vertical="center"/>
      <protection locked="0"/>
    </xf>
    <xf numFmtId="0" fontId="77" fillId="0" borderId="1" xfId="0" applyFont="1" applyBorder="1" applyAlignment="1" applyProtection="1">
      <alignment horizontal="left" vertical="center"/>
      <protection locked="0"/>
    </xf>
    <xf numFmtId="0" fontId="77" fillId="0" borderId="1" xfId="0" applyFont="1" applyBorder="1" applyAlignment="1">
      <alignment vertical="center" wrapText="1"/>
    </xf>
    <xf numFmtId="0" fontId="77" fillId="0" borderId="1" xfId="0" applyFont="1" applyFill="1" applyBorder="1" applyAlignment="1">
      <alignment vertical="center" wrapText="1"/>
    </xf>
    <xf numFmtId="0" fontId="77" fillId="0" borderId="1" xfId="0" applyFont="1" applyBorder="1" applyAlignment="1" applyProtection="1">
      <alignment vertical="center"/>
      <protection locked="0"/>
    </xf>
    <xf numFmtId="3" fontId="37" fillId="8" borderId="22" xfId="0" applyNumberFormat="1" applyFont="1" applyFill="1" applyBorder="1" applyAlignment="1">
      <alignment vertical="center"/>
    </xf>
    <xf numFmtId="0" fontId="0" fillId="8" borderId="22" xfId="0" applyFont="1" applyFill="1" applyBorder="1" applyAlignment="1">
      <alignment horizontal="right" vertical="center"/>
    </xf>
    <xf numFmtId="0" fontId="0" fillId="8" borderId="22" xfId="0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 wrapText="1"/>
    </xf>
    <xf numFmtId="22" fontId="0" fillId="10" borderId="22" xfId="0" applyNumberFormat="1" applyFill="1" applyBorder="1" applyAlignment="1">
      <alignment horizontal="right" vertical="top"/>
    </xf>
    <xf numFmtId="22" fontId="0" fillId="0" borderId="0" xfId="0" applyNumberFormat="1" applyAlignment="1">
      <alignment horizontal="right"/>
    </xf>
    <xf numFmtId="0" fontId="0" fillId="2" borderId="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16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25" xfId="0" applyFill="1" applyBorder="1" applyAlignment="1" applyProtection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</xf>
    <xf numFmtId="0" fontId="13" fillId="2" borderId="25" xfId="0" applyFont="1" applyFill="1" applyBorder="1" applyAlignment="1" applyProtection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16" fillId="0" borderId="3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0" fillId="2" borderId="24" xfId="0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8" fillId="7" borderId="34" xfId="0" applyFont="1" applyFill="1" applyBorder="1" applyAlignment="1">
      <alignment horizontal="left" vertical="center"/>
    </xf>
    <xf numFmtId="0" fontId="8" fillId="7" borderId="35" xfId="0" applyFont="1" applyFill="1" applyBorder="1" applyAlignment="1">
      <alignment horizontal="left" vertical="center"/>
    </xf>
    <xf numFmtId="0" fontId="8" fillId="7" borderId="23" xfId="0" applyFont="1" applyFill="1" applyBorder="1" applyAlignment="1">
      <alignment horizontal="left" vertical="center"/>
    </xf>
    <xf numFmtId="0" fontId="8" fillId="7" borderId="36" xfId="0" applyFont="1" applyFill="1" applyBorder="1" applyAlignment="1">
      <alignment horizontal="left" vertical="center"/>
    </xf>
    <xf numFmtId="0" fontId="8" fillId="7" borderId="22" xfId="0" applyFont="1" applyFill="1" applyBorder="1" applyAlignment="1">
      <alignment horizontal="left" vertical="center"/>
    </xf>
    <xf numFmtId="0" fontId="8" fillId="7" borderId="15" xfId="0" applyFont="1" applyFill="1" applyBorder="1" applyAlignment="1">
      <alignment horizontal="left" vertical="center"/>
    </xf>
    <xf numFmtId="0" fontId="47" fillId="7" borderId="22" xfId="0" applyFont="1" applyFill="1" applyBorder="1" applyAlignment="1">
      <alignment horizontal="left" vertical="center"/>
    </xf>
    <xf numFmtId="0" fontId="47" fillId="7" borderId="15" xfId="0" applyFont="1" applyFill="1" applyBorder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 vertical="center"/>
    </xf>
  </cellXfs>
  <cellStyles count="1">
    <cellStyle name="Normál" xfId="0" builtinId="0"/>
  </cellStyles>
  <dxfs count="36">
    <dxf>
      <font>
        <color theme="0" tint="-0.24994659260841701"/>
      </font>
    </dxf>
    <dxf>
      <font>
        <color theme="0" tint="-0.24994659260841701"/>
      </font>
    </dxf>
    <dxf>
      <font>
        <color rgb="FFFF0000"/>
      </font>
    </dxf>
    <dxf>
      <font>
        <color theme="0" tint="-0.24994659260841701"/>
      </font>
    </dxf>
    <dxf>
      <font>
        <color rgb="FFFF0000"/>
      </font>
    </dxf>
    <dxf>
      <font>
        <color theme="0" tint="-0.24994659260841701"/>
      </font>
    </dxf>
    <dxf>
      <font>
        <color rgb="FFFF0000"/>
      </font>
    </dxf>
    <dxf>
      <font>
        <color theme="0" tint="-0.24994659260841701"/>
      </font>
    </dxf>
    <dxf>
      <font>
        <color rgb="FFFF0000"/>
      </font>
    </dxf>
    <dxf>
      <font>
        <color theme="0" tint="-0.24994659260841701"/>
      </font>
    </dxf>
    <dxf>
      <font>
        <color rgb="FFFF0000"/>
      </font>
    </dxf>
    <dxf>
      <font>
        <color theme="0" tint="-0.24994659260841701"/>
      </font>
    </dxf>
    <dxf>
      <font>
        <color rgb="FFFF000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8" tint="-0.24994659260841701"/>
      </font>
      <fill>
        <patternFill>
          <bgColor theme="8" tint="-0.24994659260841701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ill>
        <patternFill>
          <bgColor rgb="FF00206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8" tint="-0.24994659260841701"/>
      </font>
      <fill>
        <patternFill>
          <bgColor theme="8" tint="-0.24994659260841701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ill>
        <patternFill>
          <bgColor rgb="FF00206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8" tint="-0.24994659260841701"/>
      </font>
      <fill>
        <patternFill>
          <bgColor theme="8" tint="-0.24994659260841701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A7FF4F"/>
      <color rgb="FFE6F747"/>
      <color rgb="FFE7FEE6"/>
      <color rgb="FF99FF33"/>
      <color rgb="FFFAA0E9"/>
      <color rgb="FFFCB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hu-HU" sz="800"/>
              <a:t>Résztvevők korosztály szerint</a:t>
            </a:r>
          </a:p>
        </c:rich>
      </c:tx>
      <c:layout>
        <c:manualLayout>
          <c:xMode val="edge"/>
          <c:yMode val="edge"/>
          <c:x val="2.5396007860366446E-2"/>
          <c:y val="0.85470085470086365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explosion val="9"/>
          <c:dLbls>
            <c:dLbl>
              <c:idx val="0"/>
              <c:layout>
                <c:manualLayout>
                  <c:x val="0.17617371146203004"/>
                  <c:y val="-0.1633757318796688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ED-48C6-882C-A949A616E06D}"/>
                </c:ext>
              </c:extLst>
            </c:dLbl>
            <c:dLbl>
              <c:idx val="1"/>
              <c:layout>
                <c:manualLayout>
                  <c:x val="-0.10724061402757162"/>
                  <c:y val="0.22885741054314476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D-48C6-882C-A949A616E06D}"/>
                </c:ext>
              </c:extLst>
            </c:dLbl>
            <c:dLbl>
              <c:idx val="3"/>
              <c:layout>
                <c:manualLayout>
                  <c:x val="0.32795138022499337"/>
                  <c:y val="3.632478632478632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ED-48C6-882C-A949A616E0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hu-HU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Statisztika!$B$14:$B$17</c:f>
              <c:strCache>
                <c:ptCount val="4"/>
                <c:pt idx="0">
                  <c:v>felnőtt férfi</c:v>
                </c:pt>
                <c:pt idx="1">
                  <c:v>felnőtt nő</c:v>
                </c:pt>
                <c:pt idx="2">
                  <c:v>ifjúsági</c:v>
                </c:pt>
                <c:pt idx="3">
                  <c:v>gyermek</c:v>
                </c:pt>
              </c:strCache>
            </c:strRef>
          </c:cat>
          <c:val>
            <c:numRef>
              <c:f>Statisztika!$J$14:$J$17</c:f>
              <c:numCache>
                <c:formatCode>General</c:formatCode>
                <c:ptCount val="4"/>
                <c:pt idx="0">
                  <c:v>134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ED-48C6-882C-A949A616E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"/>
      </c:pieChart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hu-HU" sz="800"/>
              <a:t>Résztvevők kategóriák szerint</a:t>
            </a:r>
          </a:p>
        </c:rich>
      </c:tx>
      <c:layout>
        <c:manualLayout>
          <c:xMode val="edge"/>
          <c:yMode val="edge"/>
          <c:x val="3.0044676151107261E-2"/>
          <c:y val="0.8651206708917486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explosion val="7"/>
          <c:dLbls>
            <c:dLbl>
              <c:idx val="0"/>
              <c:layout>
                <c:manualLayout>
                  <c:x val="-5.4054028491154753E-2"/>
                  <c:y val="0.28438678119782268"/>
                </c:manualLayout>
              </c:layout>
              <c:numFmt formatCode="0%" sourceLinked="0"/>
              <c:spPr/>
              <c:txPr>
                <a:bodyPr rot="0"/>
                <a:lstStyle/>
                <a:p>
                  <a:pPr>
                    <a:defRPr sz="700"/>
                  </a:pPr>
                  <a:endParaRPr lang="hu-HU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ED-44EB-8F2D-9E44979EA59A}"/>
                </c:ext>
              </c:extLst>
            </c:dLbl>
            <c:dLbl>
              <c:idx val="1"/>
              <c:layout>
                <c:manualLayout>
                  <c:x val="-7.7293004519637123E-2"/>
                  <c:y val="-6.504056311142926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ED-44EB-8F2D-9E44979EA59A}"/>
                </c:ext>
              </c:extLst>
            </c:dLbl>
            <c:dLbl>
              <c:idx val="2"/>
              <c:layout>
                <c:manualLayout>
                  <c:x val="-1.500554964150827E-2"/>
                  <c:y val="1.995168217609162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ED-44EB-8F2D-9E44979EA59A}"/>
                </c:ext>
              </c:extLst>
            </c:dLbl>
            <c:dLbl>
              <c:idx val="3"/>
              <c:layout>
                <c:manualLayout>
                  <c:x val="0.47847793692372531"/>
                  <c:y val="2.642276422764227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ED-44EB-8F2D-9E44979EA59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hu-HU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Statisztika!$B$20:$B$23</c:f>
              <c:strCache>
                <c:ptCount val="4"/>
                <c:pt idx="0">
                  <c:v>method feeder</c:v>
                </c:pt>
                <c:pt idx="1">
                  <c:v>feeder</c:v>
                </c:pt>
                <c:pt idx="2">
                  <c:v>úszós</c:v>
                </c:pt>
                <c:pt idx="3">
                  <c:v>gyermek</c:v>
                </c:pt>
              </c:strCache>
            </c:strRef>
          </c:cat>
          <c:val>
            <c:numRef>
              <c:f>Statisztika!$J$20:$J$23</c:f>
              <c:numCache>
                <c:formatCode>General</c:formatCode>
                <c:ptCount val="4"/>
                <c:pt idx="0">
                  <c:v>63</c:v>
                </c:pt>
                <c:pt idx="1">
                  <c:v>39</c:v>
                </c:pt>
                <c:pt idx="2">
                  <c:v>44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ED-44EB-8F2D-9E44979EA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800"/>
              <a:t>Kifogott halak kategóriák szerint</a:t>
            </a:r>
          </a:p>
        </c:rich>
      </c:tx>
      <c:layout>
        <c:manualLayout>
          <c:xMode val="edge"/>
          <c:yMode val="edge"/>
          <c:x val="3.8146487294469358E-2"/>
          <c:y val="0.864670658682651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722149641608674"/>
          <c:y val="0.17102047872758419"/>
          <c:w val="0.51524310582251986"/>
          <c:h val="0.68801923711631863"/>
        </c:manualLayout>
      </c:layout>
      <c:pieChart>
        <c:varyColors val="1"/>
        <c:ser>
          <c:idx val="0"/>
          <c:order val="0"/>
          <c:explosion val="6"/>
          <c:dLbls>
            <c:dLbl>
              <c:idx val="0"/>
              <c:layout>
                <c:manualLayout>
                  <c:x val="-1.2150700893330041E-2"/>
                  <c:y val="1.882081812944068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7C-48D7-8C15-192622461321}"/>
                </c:ext>
              </c:extLst>
            </c:dLbl>
            <c:dLbl>
              <c:idx val="1"/>
              <c:layout>
                <c:manualLayout>
                  <c:x val="-0.10250579664089074"/>
                  <c:y val="-0.2460282584437424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7C-48D7-8C15-192622461321}"/>
                </c:ext>
              </c:extLst>
            </c:dLbl>
            <c:dLbl>
              <c:idx val="2"/>
              <c:layout>
                <c:manualLayout>
                  <c:x val="-7.4283158551369396E-2"/>
                  <c:y val="-4.772816571581246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7C-48D7-8C15-192622461321}"/>
                </c:ext>
              </c:extLst>
            </c:dLbl>
            <c:dLbl>
              <c:idx val="3"/>
              <c:layout>
                <c:manualLayout>
                  <c:x val="-4.9704930381460184E-2"/>
                  <c:y val="1.167428921684192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7C-48D7-8C15-1926224613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hu-HU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Statisztika!$B$26:$B$29</c:f>
              <c:strCache>
                <c:ptCount val="4"/>
                <c:pt idx="0">
                  <c:v>method feeder</c:v>
                </c:pt>
                <c:pt idx="1">
                  <c:v>feeder</c:v>
                </c:pt>
                <c:pt idx="2">
                  <c:v>úszós</c:v>
                </c:pt>
                <c:pt idx="3">
                  <c:v>gyermek</c:v>
                </c:pt>
              </c:strCache>
            </c:strRef>
          </c:cat>
          <c:val>
            <c:numRef>
              <c:f>Statisztika!$J$26:$J$29</c:f>
              <c:numCache>
                <c:formatCode>#,##0</c:formatCode>
                <c:ptCount val="4"/>
                <c:pt idx="0">
                  <c:v>1037715</c:v>
                </c:pt>
                <c:pt idx="1">
                  <c:v>772805</c:v>
                </c:pt>
                <c:pt idx="2">
                  <c:v>1517080</c:v>
                </c:pt>
                <c:pt idx="3">
                  <c:v>82600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7C-48D7-8C15-192622461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"/>
      </c:pieChart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chart" Target="../charts/chart2.xml"/><Relationship Id="rId7" Type="http://schemas.openxmlformats.org/officeDocument/2006/relationships/image" Target="../media/image6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8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7620</xdr:colOff>
          <xdr:row>4</xdr:row>
          <xdr:rowOff>22860</xdr:rowOff>
        </xdr:from>
        <xdr:to>
          <xdr:col>0</xdr:col>
          <xdr:colOff>312420</xdr:colOff>
          <xdr:row>4</xdr:row>
          <xdr:rowOff>411480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Ssz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7620</xdr:colOff>
          <xdr:row>4</xdr:row>
          <xdr:rowOff>22860</xdr:rowOff>
        </xdr:from>
        <xdr:to>
          <xdr:col>1</xdr:col>
          <xdr:colOff>1798320</xdr:colOff>
          <xdr:row>5</xdr:row>
          <xdr:rowOff>0</xdr:rowOff>
        </xdr:to>
        <xdr:sp macro="" textlink="">
          <xdr:nvSpPr>
            <xdr:cNvPr id="13315" name="Button 3" descr="Név szerinti sorrendezés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Név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7620</xdr:colOff>
          <xdr:row>4</xdr:row>
          <xdr:rowOff>0</xdr:rowOff>
        </xdr:from>
        <xdr:to>
          <xdr:col>7</xdr:col>
          <xdr:colOff>7620</xdr:colOff>
          <xdr:row>4</xdr:row>
          <xdr:rowOff>411480</xdr:rowOff>
        </xdr:to>
        <xdr:sp macro="" textlink="">
          <xdr:nvSpPr>
            <xdr:cNvPr id="13320" name="Button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Szektor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161925</xdr:colOff>
      <xdr:row>0</xdr:row>
      <xdr:rowOff>24235</xdr:rowOff>
    </xdr:from>
    <xdr:to>
      <xdr:col>10</xdr:col>
      <xdr:colOff>156787</xdr:colOff>
      <xdr:row>2</xdr:row>
      <xdr:rowOff>99591</xdr:rowOff>
    </xdr:to>
    <xdr:pic>
      <xdr:nvPicPr>
        <xdr:cNvPr id="2" name="Kép 1" descr="maconka2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4235"/>
          <a:ext cx="2623762" cy="51350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200025</xdr:rowOff>
    </xdr:from>
    <xdr:to>
      <xdr:col>3</xdr:col>
      <xdr:colOff>321900</xdr:colOff>
      <xdr:row>2</xdr:row>
      <xdr:rowOff>28275</xdr:rowOff>
    </xdr:to>
    <xdr:pic>
      <xdr:nvPicPr>
        <xdr:cNvPr id="3" name="Picture 2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200025"/>
          <a:ext cx="2646000" cy="266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672100</xdr:colOff>
      <xdr:row>0</xdr:row>
      <xdr:rowOff>0</xdr:rowOff>
    </xdr:from>
    <xdr:to>
      <xdr:col>6</xdr:col>
      <xdr:colOff>19262</xdr:colOff>
      <xdr:row>2</xdr:row>
      <xdr:rowOff>161925</xdr:rowOff>
    </xdr:to>
    <xdr:pic>
      <xdr:nvPicPr>
        <xdr:cNvPr id="3" name="Kép 2" descr="maconka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15300" y="0"/>
          <a:ext cx="287141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161925</xdr:rowOff>
    </xdr:from>
    <xdr:to>
      <xdr:col>2</xdr:col>
      <xdr:colOff>1722075</xdr:colOff>
      <xdr:row>2</xdr:row>
      <xdr:rowOff>28275</xdr:rowOff>
    </xdr:to>
    <xdr:pic>
      <xdr:nvPicPr>
        <xdr:cNvPr id="14358" name="Picture 22">
          <a:extLst>
            <a:ext uri="{FF2B5EF4-FFF2-40B4-BE49-F238E27FC236}">
              <a16:creationId xmlns:a16="http://schemas.microsoft.com/office/drawing/2014/main" id="{00000000-0008-0000-0200-0000163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61925"/>
          <a:ext cx="2646000" cy="266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1379220</xdr:colOff>
          <xdr:row>19</xdr:row>
          <xdr:rowOff>182880</xdr:rowOff>
        </xdr:from>
        <xdr:to>
          <xdr:col>3</xdr:col>
          <xdr:colOff>259080</xdr:colOff>
          <xdr:row>21</xdr:row>
          <xdr:rowOff>22860</xdr:rowOff>
        </xdr:to>
        <xdr:sp macro="" textlink="">
          <xdr:nvSpPr>
            <xdr:cNvPr id="14341" name="Button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2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A</a:t>
              </a: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szektor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350520</xdr:colOff>
          <xdr:row>19</xdr:row>
          <xdr:rowOff>182880</xdr:rowOff>
        </xdr:from>
        <xdr:to>
          <xdr:col>3</xdr:col>
          <xdr:colOff>1036320</xdr:colOff>
          <xdr:row>21</xdr:row>
          <xdr:rowOff>22860</xdr:rowOff>
        </xdr:to>
        <xdr:sp macro="" textlink="">
          <xdr:nvSpPr>
            <xdr:cNvPr id="14342" name="Button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2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B</a:t>
              </a: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szektor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1135380</xdr:colOff>
          <xdr:row>19</xdr:row>
          <xdr:rowOff>182880</xdr:rowOff>
        </xdr:from>
        <xdr:to>
          <xdr:col>4</xdr:col>
          <xdr:colOff>198120</xdr:colOff>
          <xdr:row>21</xdr:row>
          <xdr:rowOff>22860</xdr:rowOff>
        </xdr:to>
        <xdr:sp macro="" textlink="">
          <xdr:nvSpPr>
            <xdr:cNvPr id="14343" name="Button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2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C</a:t>
              </a: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szektor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297180</xdr:colOff>
          <xdr:row>19</xdr:row>
          <xdr:rowOff>182880</xdr:rowOff>
        </xdr:from>
        <xdr:to>
          <xdr:col>4</xdr:col>
          <xdr:colOff>982980</xdr:colOff>
          <xdr:row>21</xdr:row>
          <xdr:rowOff>22860</xdr:rowOff>
        </xdr:to>
        <xdr:sp macro="" textlink="">
          <xdr:nvSpPr>
            <xdr:cNvPr id="14344" name="Button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2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D</a:t>
              </a: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szektor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1074420</xdr:colOff>
          <xdr:row>19</xdr:row>
          <xdr:rowOff>182880</xdr:rowOff>
        </xdr:from>
        <xdr:to>
          <xdr:col>5</xdr:col>
          <xdr:colOff>647700</xdr:colOff>
          <xdr:row>21</xdr:row>
          <xdr:rowOff>22860</xdr:rowOff>
        </xdr:to>
        <xdr:sp macro="" textlink="">
          <xdr:nvSpPr>
            <xdr:cNvPr id="14345" name="Button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2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2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E</a:t>
              </a: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szektor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746760</xdr:colOff>
          <xdr:row>19</xdr:row>
          <xdr:rowOff>182880</xdr:rowOff>
        </xdr:from>
        <xdr:to>
          <xdr:col>7</xdr:col>
          <xdr:colOff>137160</xdr:colOff>
          <xdr:row>21</xdr:row>
          <xdr:rowOff>22860</xdr:rowOff>
        </xdr:to>
        <xdr:sp macro="" textlink="">
          <xdr:nvSpPr>
            <xdr:cNvPr id="14346" name="Button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2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2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F</a:t>
              </a:r>
              <a:r>
                <a:rPr lang="hu-HU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szektor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1379220</xdr:colOff>
          <xdr:row>22</xdr:row>
          <xdr:rowOff>45720</xdr:rowOff>
        </xdr:from>
        <xdr:to>
          <xdr:col>3</xdr:col>
          <xdr:colOff>259080</xdr:colOff>
          <xdr:row>23</xdr:row>
          <xdr:rowOff>76200</xdr:rowOff>
        </xdr:to>
        <xdr:sp macro="" textlink="">
          <xdr:nvSpPr>
            <xdr:cNvPr id="14347" name="Button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2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2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G</a:t>
              </a: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szektor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350520</xdr:colOff>
          <xdr:row>22</xdr:row>
          <xdr:rowOff>45720</xdr:rowOff>
        </xdr:from>
        <xdr:to>
          <xdr:col>3</xdr:col>
          <xdr:colOff>1036320</xdr:colOff>
          <xdr:row>23</xdr:row>
          <xdr:rowOff>76200</xdr:rowOff>
        </xdr:to>
        <xdr:sp macro="" textlink="">
          <xdr:nvSpPr>
            <xdr:cNvPr id="14348" name="Button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2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2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H</a:t>
              </a:r>
              <a:r>
                <a:rPr lang="hu-HU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szektor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1135380</xdr:colOff>
          <xdr:row>22</xdr:row>
          <xdr:rowOff>45720</xdr:rowOff>
        </xdr:from>
        <xdr:to>
          <xdr:col>4</xdr:col>
          <xdr:colOff>198120</xdr:colOff>
          <xdr:row>23</xdr:row>
          <xdr:rowOff>76200</xdr:rowOff>
        </xdr:to>
        <xdr:sp macro="" textlink="">
          <xdr:nvSpPr>
            <xdr:cNvPr id="14349" name="Button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2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2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I</a:t>
              </a: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szektor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1333500</xdr:colOff>
          <xdr:row>24</xdr:row>
          <xdr:rowOff>83820</xdr:rowOff>
        </xdr:from>
        <xdr:to>
          <xdr:col>4</xdr:col>
          <xdr:colOff>792480</xdr:colOff>
          <xdr:row>25</xdr:row>
          <xdr:rowOff>114300</xdr:rowOff>
        </xdr:to>
        <xdr:sp macro="" textlink="">
          <xdr:nvSpPr>
            <xdr:cNvPr id="14350" name="Button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2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200" b="1" i="0" u="none" strike="noStrike" baseline="0">
                  <a:solidFill>
                    <a:srgbClr val="FF6600"/>
                  </a:solidFill>
                  <a:latin typeface="Calibri"/>
                  <a:cs typeface="Calibri"/>
                </a:rPr>
                <a:t>GY</a:t>
              </a: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szektor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297180</xdr:colOff>
          <xdr:row>22</xdr:row>
          <xdr:rowOff>45720</xdr:rowOff>
        </xdr:from>
        <xdr:to>
          <xdr:col>4</xdr:col>
          <xdr:colOff>982980</xdr:colOff>
          <xdr:row>23</xdr:row>
          <xdr:rowOff>76200</xdr:rowOff>
        </xdr:to>
        <xdr:sp macro="" textlink="">
          <xdr:nvSpPr>
            <xdr:cNvPr id="14352" name="Button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2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200" b="1" i="0" u="none" strike="noStrike" baseline="0">
                  <a:solidFill>
                    <a:srgbClr val="339966"/>
                  </a:solidFill>
                  <a:latin typeface="Calibri"/>
                  <a:cs typeface="Calibri"/>
                </a:rPr>
                <a:t>J</a:t>
              </a: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szektor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746760</xdr:colOff>
          <xdr:row>22</xdr:row>
          <xdr:rowOff>38100</xdr:rowOff>
        </xdr:from>
        <xdr:to>
          <xdr:col>7</xdr:col>
          <xdr:colOff>137160</xdr:colOff>
          <xdr:row>23</xdr:row>
          <xdr:rowOff>68580</xdr:rowOff>
        </xdr:to>
        <xdr:sp macro="" textlink="">
          <xdr:nvSpPr>
            <xdr:cNvPr id="14354" name="Button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2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200" b="1" i="0" u="none" strike="noStrike" baseline="0">
                  <a:solidFill>
                    <a:srgbClr val="339966"/>
                  </a:solidFill>
                  <a:latin typeface="Calibri"/>
                  <a:cs typeface="Calibri"/>
                </a:rPr>
                <a:t>L</a:t>
              </a: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szektor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1074420</xdr:colOff>
          <xdr:row>22</xdr:row>
          <xdr:rowOff>45720</xdr:rowOff>
        </xdr:from>
        <xdr:to>
          <xdr:col>5</xdr:col>
          <xdr:colOff>647700</xdr:colOff>
          <xdr:row>23</xdr:row>
          <xdr:rowOff>76200</xdr:rowOff>
        </xdr:to>
        <xdr:sp macro="" textlink="">
          <xdr:nvSpPr>
            <xdr:cNvPr id="14356" name="Button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2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200" b="1" i="0" u="none" strike="noStrike" baseline="0">
                  <a:solidFill>
                    <a:srgbClr val="339966"/>
                  </a:solidFill>
                  <a:latin typeface="Calibri"/>
                  <a:cs typeface="Calibri"/>
                </a:rPr>
                <a:t>K</a:t>
              </a: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szektor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28575</xdr:colOff>
      <xdr:row>0</xdr:row>
      <xdr:rowOff>0</xdr:rowOff>
    </xdr:from>
    <xdr:to>
      <xdr:col>6</xdr:col>
      <xdr:colOff>288045</xdr:colOff>
      <xdr:row>2</xdr:row>
      <xdr:rowOff>142875</xdr:rowOff>
    </xdr:to>
    <xdr:pic>
      <xdr:nvPicPr>
        <xdr:cNvPr id="3" name="Kép 2" descr="maconka2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05275" y="0"/>
          <a:ext cx="2774070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171450</xdr:rowOff>
    </xdr:from>
    <xdr:to>
      <xdr:col>2</xdr:col>
      <xdr:colOff>188550</xdr:colOff>
      <xdr:row>2</xdr:row>
      <xdr:rowOff>37800</xdr:rowOff>
    </xdr:to>
    <xdr:pic>
      <xdr:nvPicPr>
        <xdr:cNvPr id="4" name="Picture 2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71450"/>
          <a:ext cx="2646000" cy="266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114300</xdr:colOff>
          <xdr:row>2</xdr:row>
          <xdr:rowOff>160020</xdr:rowOff>
        </xdr:from>
        <xdr:to>
          <xdr:col>1</xdr:col>
          <xdr:colOff>152400</xdr:colOff>
          <xdr:row>3</xdr:row>
          <xdr:rowOff>190500</xdr:rowOff>
        </xdr:to>
        <xdr:sp macro="" textlink="">
          <xdr:nvSpPr>
            <xdr:cNvPr id="27649" name="Button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3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Feeder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1280160</xdr:colOff>
          <xdr:row>2</xdr:row>
          <xdr:rowOff>160020</xdr:rowOff>
        </xdr:from>
        <xdr:to>
          <xdr:col>1</xdr:col>
          <xdr:colOff>1744980</xdr:colOff>
          <xdr:row>3</xdr:row>
          <xdr:rowOff>190500</xdr:rowOff>
        </xdr:to>
        <xdr:sp macro="" textlink="">
          <xdr:nvSpPr>
            <xdr:cNvPr id="27650" name="Button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3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3366FF"/>
                  </a:solidFill>
                  <a:latin typeface="Calibri"/>
                  <a:cs typeface="Calibri"/>
                </a:rPr>
                <a:t>Úszós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7620</xdr:colOff>
          <xdr:row>2</xdr:row>
          <xdr:rowOff>160020</xdr:rowOff>
        </xdr:from>
        <xdr:to>
          <xdr:col>2</xdr:col>
          <xdr:colOff>563880</xdr:colOff>
          <xdr:row>3</xdr:row>
          <xdr:rowOff>190500</xdr:rowOff>
        </xdr:to>
        <xdr:sp macro="" textlink="">
          <xdr:nvSpPr>
            <xdr:cNvPr id="27651" name="Button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3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00FF"/>
                  </a:solidFill>
                  <a:latin typeface="Calibri"/>
                  <a:cs typeface="Calibri"/>
                </a:rPr>
                <a:t>Női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640080</xdr:colOff>
          <xdr:row>2</xdr:row>
          <xdr:rowOff>160020</xdr:rowOff>
        </xdr:from>
        <xdr:to>
          <xdr:col>2</xdr:col>
          <xdr:colOff>1181100</xdr:colOff>
          <xdr:row>3</xdr:row>
          <xdr:rowOff>190500</xdr:rowOff>
        </xdr:to>
        <xdr:sp macro="" textlink="">
          <xdr:nvSpPr>
            <xdr:cNvPr id="27652" name="Button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3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Ifjúsági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1257300</xdr:colOff>
          <xdr:row>2</xdr:row>
          <xdr:rowOff>160020</xdr:rowOff>
        </xdr:from>
        <xdr:to>
          <xdr:col>3</xdr:col>
          <xdr:colOff>259080</xdr:colOff>
          <xdr:row>3</xdr:row>
          <xdr:rowOff>190500</xdr:rowOff>
        </xdr:to>
        <xdr:sp macro="" textlink="">
          <xdr:nvSpPr>
            <xdr:cNvPr id="27653" name="Button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3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6600"/>
                  </a:solidFill>
                  <a:latin typeface="Calibri"/>
                  <a:cs typeface="Calibri"/>
                </a:rPr>
                <a:t>Gyermek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914400</xdr:colOff>
          <xdr:row>2</xdr:row>
          <xdr:rowOff>160020</xdr:rowOff>
        </xdr:from>
        <xdr:to>
          <xdr:col>5</xdr:col>
          <xdr:colOff>121920</xdr:colOff>
          <xdr:row>3</xdr:row>
          <xdr:rowOff>190500</xdr:rowOff>
        </xdr:to>
        <xdr:sp macro="" textlink="">
          <xdr:nvSpPr>
            <xdr:cNvPr id="27654" name="Button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3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Szektorgyőztesek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228600</xdr:colOff>
          <xdr:row>2</xdr:row>
          <xdr:rowOff>160020</xdr:rowOff>
        </xdr:from>
        <xdr:to>
          <xdr:col>1</xdr:col>
          <xdr:colOff>1203960</xdr:colOff>
          <xdr:row>3</xdr:row>
          <xdr:rowOff>190500</xdr:rowOff>
        </xdr:to>
        <xdr:sp macro="" textlink="">
          <xdr:nvSpPr>
            <xdr:cNvPr id="27655" name="Button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3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Method feeder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312420</xdr:colOff>
          <xdr:row>2</xdr:row>
          <xdr:rowOff>160020</xdr:rowOff>
        </xdr:from>
        <xdr:to>
          <xdr:col>3</xdr:col>
          <xdr:colOff>861060</xdr:colOff>
          <xdr:row>3</xdr:row>
          <xdr:rowOff>190500</xdr:rowOff>
        </xdr:to>
        <xdr:sp macro="" textlink="">
          <xdr:nvSpPr>
            <xdr:cNvPr id="27656" name="Button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3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993300"/>
                  </a:solidFill>
                  <a:latin typeface="Calibri"/>
                  <a:cs typeface="Calibri"/>
                </a:rPr>
                <a:t>Külföldi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38030</xdr:colOff>
      <xdr:row>0</xdr:row>
      <xdr:rowOff>9525</xdr:rowOff>
    </xdr:from>
    <xdr:to>
      <xdr:col>24</xdr:col>
      <xdr:colOff>447675</xdr:colOff>
      <xdr:row>3</xdr:row>
      <xdr:rowOff>38100</xdr:rowOff>
    </xdr:to>
    <xdr:pic>
      <xdr:nvPicPr>
        <xdr:cNvPr id="2" name="Kép 1" descr="maconka2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15080" y="9525"/>
          <a:ext cx="3114745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3</xdr:col>
      <xdr:colOff>180675</xdr:colOff>
      <xdr:row>1</xdr:row>
      <xdr:rowOff>179025</xdr:rowOff>
    </xdr:to>
    <xdr:pic>
      <xdr:nvPicPr>
        <xdr:cNvPr id="4" name="Picture 2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9525"/>
          <a:ext cx="3466800" cy="36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601980</xdr:colOff>
          <xdr:row>2</xdr:row>
          <xdr:rowOff>30480</xdr:rowOff>
        </xdr:from>
        <xdr:to>
          <xdr:col>2</xdr:col>
          <xdr:colOff>106680</xdr:colOff>
          <xdr:row>3</xdr:row>
          <xdr:rowOff>60960</xdr:rowOff>
        </xdr:to>
        <xdr:sp macro="" textlink="">
          <xdr:nvSpPr>
            <xdr:cNvPr id="40961" name="Button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4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Method feeder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182880</xdr:colOff>
          <xdr:row>2</xdr:row>
          <xdr:rowOff>22860</xdr:rowOff>
        </xdr:from>
        <xdr:to>
          <xdr:col>2</xdr:col>
          <xdr:colOff>906780</xdr:colOff>
          <xdr:row>3</xdr:row>
          <xdr:rowOff>45720</xdr:rowOff>
        </xdr:to>
        <xdr:sp macro="" textlink="">
          <xdr:nvSpPr>
            <xdr:cNvPr id="40962" name="Button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4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3366FF"/>
                  </a:solidFill>
                  <a:latin typeface="Calibri"/>
                  <a:cs typeface="Calibri"/>
                </a:rPr>
                <a:t>Úszós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982980</xdr:colOff>
          <xdr:row>2</xdr:row>
          <xdr:rowOff>22860</xdr:rowOff>
        </xdr:from>
        <xdr:to>
          <xdr:col>3</xdr:col>
          <xdr:colOff>373380</xdr:colOff>
          <xdr:row>3</xdr:row>
          <xdr:rowOff>45720</xdr:rowOff>
        </xdr:to>
        <xdr:sp macro="" textlink="">
          <xdr:nvSpPr>
            <xdr:cNvPr id="40963" name="Button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4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00FF"/>
                  </a:solidFill>
                  <a:latin typeface="Calibri"/>
                  <a:cs typeface="Calibri"/>
                </a:rPr>
                <a:t>Női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449580</xdr:colOff>
          <xdr:row>2</xdr:row>
          <xdr:rowOff>22860</xdr:rowOff>
        </xdr:from>
        <xdr:to>
          <xdr:col>4</xdr:col>
          <xdr:colOff>137160</xdr:colOff>
          <xdr:row>3</xdr:row>
          <xdr:rowOff>45720</xdr:rowOff>
        </xdr:to>
        <xdr:sp macro="" textlink="">
          <xdr:nvSpPr>
            <xdr:cNvPr id="40964" name="Button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04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339966"/>
                  </a:solidFill>
                  <a:latin typeface="Calibri"/>
                  <a:cs typeface="Calibri"/>
                </a:rPr>
                <a:t>Ifjúsági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213360</xdr:colOff>
          <xdr:row>2</xdr:row>
          <xdr:rowOff>22860</xdr:rowOff>
        </xdr:from>
        <xdr:to>
          <xdr:col>6</xdr:col>
          <xdr:colOff>0</xdr:colOff>
          <xdr:row>3</xdr:row>
          <xdr:rowOff>45720</xdr:rowOff>
        </xdr:to>
        <xdr:sp macro="" textlink="">
          <xdr:nvSpPr>
            <xdr:cNvPr id="40965" name="Button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4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9900"/>
                  </a:solidFill>
                  <a:latin typeface="Calibri"/>
                  <a:cs typeface="Calibri"/>
                </a:rPr>
                <a:t>Gyermek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175260</xdr:colOff>
          <xdr:row>2</xdr:row>
          <xdr:rowOff>30480</xdr:rowOff>
        </xdr:from>
        <xdr:to>
          <xdr:col>1</xdr:col>
          <xdr:colOff>525780</xdr:colOff>
          <xdr:row>3</xdr:row>
          <xdr:rowOff>60960</xdr:rowOff>
        </xdr:to>
        <xdr:sp macro="" textlink="">
          <xdr:nvSpPr>
            <xdr:cNvPr id="40967" name="Button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4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Feeder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76200</xdr:colOff>
          <xdr:row>2</xdr:row>
          <xdr:rowOff>22860</xdr:rowOff>
        </xdr:from>
        <xdr:to>
          <xdr:col>9</xdr:col>
          <xdr:colOff>83820</xdr:colOff>
          <xdr:row>3</xdr:row>
          <xdr:rowOff>45720</xdr:rowOff>
        </xdr:to>
        <xdr:sp macro="" textlink="">
          <xdr:nvSpPr>
            <xdr:cNvPr id="40968" name="Button 8" hidden="1">
              <a:extLst>
                <a:ext uri="{63B3BB69-23CF-44E3-9099-C40C66FF867C}">
                  <a14:compatExt spid="_x0000_s40968"/>
                </a:ext>
                <a:ext uri="{FF2B5EF4-FFF2-40B4-BE49-F238E27FC236}">
                  <a16:creationId xmlns:a16="http://schemas.microsoft.com/office/drawing/2014/main" id="{00000000-0008-0000-0400-00000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993300"/>
                  </a:solidFill>
                  <a:latin typeface="Calibri"/>
                  <a:cs typeface="Calibri"/>
                </a:rPr>
                <a:t>Külföldi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400049</xdr:colOff>
      <xdr:row>0</xdr:row>
      <xdr:rowOff>64770</xdr:rowOff>
    </xdr:from>
    <xdr:to>
      <xdr:col>15</xdr:col>
      <xdr:colOff>280466</xdr:colOff>
      <xdr:row>0</xdr:row>
      <xdr:rowOff>65151</xdr:rowOff>
    </xdr:to>
    <xdr:pic>
      <xdr:nvPicPr>
        <xdr:cNvPr id="2" name="Kép 1" descr="maconka2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074" y="64770"/>
          <a:ext cx="3309417" cy="381"/>
        </a:xfrm>
        <a:prstGeom prst="rect">
          <a:avLst/>
        </a:prstGeom>
      </xdr:spPr>
    </xdr:pic>
    <xdr:clientData/>
  </xdr:twoCellAnchor>
  <xdr:twoCellAnchor editAs="absolute">
    <xdr:from>
      <xdr:col>6</xdr:col>
      <xdr:colOff>257175</xdr:colOff>
      <xdr:row>0</xdr:row>
      <xdr:rowOff>76199</xdr:rowOff>
    </xdr:from>
    <xdr:to>
      <xdr:col>15</xdr:col>
      <xdr:colOff>380931</xdr:colOff>
      <xdr:row>1</xdr:row>
      <xdr:rowOff>361949</xdr:rowOff>
    </xdr:to>
    <xdr:pic>
      <xdr:nvPicPr>
        <xdr:cNvPr id="3" name="Kép 2" descr="maconka2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10200" y="76199"/>
          <a:ext cx="3552756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47625</xdr:rowOff>
    </xdr:from>
    <xdr:to>
      <xdr:col>3</xdr:col>
      <xdr:colOff>1266525</xdr:colOff>
      <xdr:row>1</xdr:row>
      <xdr:rowOff>1650</xdr:rowOff>
    </xdr:to>
    <xdr:pic>
      <xdr:nvPicPr>
        <xdr:cNvPr id="4" name="Picture 2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47625"/>
          <a:ext cx="3466800" cy="363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66676</xdr:colOff>
      <xdr:row>1</xdr:row>
      <xdr:rowOff>828240</xdr:rowOff>
    </xdr:from>
    <xdr:to>
      <xdr:col>6</xdr:col>
      <xdr:colOff>495301</xdr:colOff>
      <xdr:row>1</xdr:row>
      <xdr:rowOff>1238250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6" y="1237815"/>
          <a:ext cx="2019300" cy="4100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1013460</xdr:colOff>
          <xdr:row>1</xdr:row>
          <xdr:rowOff>502920</xdr:rowOff>
        </xdr:from>
        <xdr:to>
          <xdr:col>4</xdr:col>
          <xdr:colOff>426720</xdr:colOff>
          <xdr:row>1</xdr:row>
          <xdr:rowOff>784860</xdr:rowOff>
        </xdr:to>
        <xdr:sp macro="" textlink="">
          <xdr:nvSpPr>
            <xdr:cNvPr id="61441" name="Button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5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000" b="1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Method feeder 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175260</xdr:colOff>
          <xdr:row>1</xdr:row>
          <xdr:rowOff>495300</xdr:rowOff>
        </xdr:from>
        <xdr:to>
          <xdr:col>6</xdr:col>
          <xdr:colOff>312420</xdr:colOff>
          <xdr:row>1</xdr:row>
          <xdr:rowOff>769620</xdr:rowOff>
        </xdr:to>
        <xdr:sp macro="" textlink="">
          <xdr:nvSpPr>
            <xdr:cNvPr id="61442" name="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5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000" b="1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Úszós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495300</xdr:colOff>
          <xdr:row>1</xdr:row>
          <xdr:rowOff>487680</xdr:rowOff>
        </xdr:from>
        <xdr:to>
          <xdr:col>10</xdr:col>
          <xdr:colOff>68580</xdr:colOff>
          <xdr:row>1</xdr:row>
          <xdr:rowOff>762000</xdr:rowOff>
        </xdr:to>
        <xdr:sp macro="" textlink="">
          <xdr:nvSpPr>
            <xdr:cNvPr id="61443" name="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5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000" b="1" i="0" u="none" strike="noStrike" baseline="0">
                  <a:solidFill>
                    <a:srgbClr val="339966"/>
                  </a:solidFill>
                  <a:latin typeface="Calibri"/>
                  <a:cs typeface="Calibri"/>
                </a:rPr>
                <a:t>Ifjúsági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373380</xdr:colOff>
          <xdr:row>1</xdr:row>
          <xdr:rowOff>487680</xdr:rowOff>
        </xdr:from>
        <xdr:to>
          <xdr:col>7</xdr:col>
          <xdr:colOff>441960</xdr:colOff>
          <xdr:row>1</xdr:row>
          <xdr:rowOff>762000</xdr:rowOff>
        </xdr:to>
        <xdr:sp macro="" textlink="">
          <xdr:nvSpPr>
            <xdr:cNvPr id="61444" name="Button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5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000" b="1" i="0" u="none" strike="noStrike" baseline="0">
                  <a:solidFill>
                    <a:srgbClr val="FF9900"/>
                  </a:solidFill>
                  <a:latin typeface="Calibri"/>
                  <a:cs typeface="Calibri"/>
                </a:rPr>
                <a:t>Gyermek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480060</xdr:colOff>
          <xdr:row>1</xdr:row>
          <xdr:rowOff>495300</xdr:rowOff>
        </xdr:from>
        <xdr:to>
          <xdr:col>5</xdr:col>
          <xdr:colOff>114300</xdr:colOff>
          <xdr:row>1</xdr:row>
          <xdr:rowOff>769620</xdr:rowOff>
        </xdr:to>
        <xdr:sp macro="" textlink="">
          <xdr:nvSpPr>
            <xdr:cNvPr id="61445" name="Button 5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00000000-0008-0000-0500-00000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000" b="1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Feeder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121920</xdr:colOff>
          <xdr:row>1</xdr:row>
          <xdr:rowOff>487680</xdr:rowOff>
        </xdr:from>
        <xdr:to>
          <xdr:col>12</xdr:col>
          <xdr:colOff>251460</xdr:colOff>
          <xdr:row>1</xdr:row>
          <xdr:rowOff>762000</xdr:rowOff>
        </xdr:to>
        <xdr:sp macro="" textlink="">
          <xdr:nvSpPr>
            <xdr:cNvPr id="61446" name="Button 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5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000" b="1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Női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0</xdr:colOff>
          <xdr:row>1</xdr:row>
          <xdr:rowOff>487680</xdr:rowOff>
        </xdr:from>
        <xdr:to>
          <xdr:col>15</xdr:col>
          <xdr:colOff>7620</xdr:colOff>
          <xdr:row>1</xdr:row>
          <xdr:rowOff>762000</xdr:rowOff>
        </xdr:to>
        <xdr:sp macro="" textlink="">
          <xdr:nvSpPr>
            <xdr:cNvPr id="61447" name="Button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5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000" b="1" i="0" u="none" strike="noStrike" baseline="0">
                  <a:solidFill>
                    <a:srgbClr val="993366"/>
                  </a:solidFill>
                  <a:latin typeface="Calibri"/>
                  <a:cs typeface="Calibri"/>
                </a:rPr>
                <a:t>Külföldi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499401</xdr:colOff>
      <xdr:row>0</xdr:row>
      <xdr:rowOff>66675</xdr:rowOff>
    </xdr:from>
    <xdr:to>
      <xdr:col>12</xdr:col>
      <xdr:colOff>838200</xdr:colOff>
      <xdr:row>2</xdr:row>
      <xdr:rowOff>257175</xdr:rowOff>
    </xdr:to>
    <xdr:pic>
      <xdr:nvPicPr>
        <xdr:cNvPr id="3" name="Kép 2" descr="maconka2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28651" y="66675"/>
          <a:ext cx="2920074" cy="571500"/>
        </a:xfrm>
        <a:prstGeom prst="rect">
          <a:avLst/>
        </a:prstGeom>
      </xdr:spPr>
    </xdr:pic>
    <xdr:clientData/>
  </xdr:twoCellAnchor>
  <xdr:twoCellAnchor>
    <xdr:from>
      <xdr:col>10</xdr:col>
      <xdr:colOff>57152</xdr:colOff>
      <xdr:row>11</xdr:row>
      <xdr:rowOff>9526</xdr:rowOff>
    </xdr:from>
    <xdr:to>
      <xdr:col>12</xdr:col>
      <xdr:colOff>962026</xdr:colOff>
      <xdr:row>17</xdr:row>
      <xdr:rowOff>152400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66674</xdr:colOff>
      <xdr:row>17</xdr:row>
      <xdr:rowOff>180975</xdr:rowOff>
    </xdr:from>
    <xdr:to>
      <xdr:col>12</xdr:col>
      <xdr:colOff>962025</xdr:colOff>
      <xdr:row>25</xdr:row>
      <xdr:rowOff>200025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25</xdr:row>
      <xdr:rowOff>238126</xdr:rowOff>
    </xdr:from>
    <xdr:to>
      <xdr:col>12</xdr:col>
      <xdr:colOff>962025</xdr:colOff>
      <xdr:row>32</xdr:row>
      <xdr:rowOff>200025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180975</xdr:colOff>
      <xdr:row>0</xdr:row>
      <xdr:rowOff>47625</xdr:rowOff>
    </xdr:from>
    <xdr:to>
      <xdr:col>5</xdr:col>
      <xdr:colOff>161625</xdr:colOff>
      <xdr:row>2</xdr:row>
      <xdr:rowOff>26625</xdr:rowOff>
    </xdr:to>
    <xdr:pic>
      <xdr:nvPicPr>
        <xdr:cNvPr id="7" name="Picture 2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0975" y="47625"/>
          <a:ext cx="3466800" cy="36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66675</xdr:colOff>
      <xdr:row>3</xdr:row>
      <xdr:rowOff>57150</xdr:rowOff>
    </xdr:from>
    <xdr:to>
      <xdr:col>7</xdr:col>
      <xdr:colOff>342900</xdr:colOff>
      <xdr:row>5</xdr:row>
      <xdr:rowOff>28575</xdr:rowOff>
    </xdr:to>
    <xdr:pic>
      <xdr:nvPicPr>
        <xdr:cNvPr id="8" name="Kép 7" descr="ido-felh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848225" y="714375"/>
          <a:ext cx="276225" cy="276225"/>
        </a:xfrm>
        <a:prstGeom prst="rect">
          <a:avLst/>
        </a:prstGeom>
      </xdr:spPr>
    </xdr:pic>
    <xdr:clientData/>
  </xdr:twoCellAnchor>
  <xdr:twoCellAnchor editAs="absolute">
    <xdr:from>
      <xdr:col>7</xdr:col>
      <xdr:colOff>95250</xdr:colOff>
      <xdr:row>5</xdr:row>
      <xdr:rowOff>0</xdr:rowOff>
    </xdr:from>
    <xdr:to>
      <xdr:col>7</xdr:col>
      <xdr:colOff>311250</xdr:colOff>
      <xdr:row>6</xdr:row>
      <xdr:rowOff>6450</xdr:rowOff>
    </xdr:to>
    <xdr:pic>
      <xdr:nvPicPr>
        <xdr:cNvPr id="9" name="Picture 1" descr="Képtalálat a következ&amp;odblac;re: „es&amp;odblac; png”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876800" y="962025"/>
          <a:ext cx="216000" cy="216000"/>
        </a:xfrm>
        <a:prstGeom prst="rect">
          <a:avLst/>
        </a:prstGeom>
        <a:noFill/>
      </xdr:spPr>
    </xdr:pic>
    <xdr:clientData/>
  </xdr:twoCellAnchor>
  <xdr:twoCellAnchor editAs="absolute">
    <xdr:from>
      <xdr:col>7</xdr:col>
      <xdr:colOff>85725</xdr:colOff>
      <xdr:row>5</xdr:row>
      <xdr:rowOff>200025</xdr:rowOff>
    </xdr:from>
    <xdr:to>
      <xdr:col>7</xdr:col>
      <xdr:colOff>301725</xdr:colOff>
      <xdr:row>6</xdr:row>
      <xdr:rowOff>206475</xdr:rowOff>
    </xdr:to>
    <xdr:pic>
      <xdr:nvPicPr>
        <xdr:cNvPr id="10" name="Picture 2" descr="Képtalálat a következ&amp;odblac;re: „sun png”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867275" y="1162050"/>
          <a:ext cx="216000" cy="2160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47626</xdr:colOff>
      <xdr:row>0</xdr:row>
      <xdr:rowOff>0</xdr:rowOff>
    </xdr:from>
    <xdr:to>
      <xdr:col>6</xdr:col>
      <xdr:colOff>542926</xdr:colOff>
      <xdr:row>2</xdr:row>
      <xdr:rowOff>80091</xdr:rowOff>
    </xdr:to>
    <xdr:pic>
      <xdr:nvPicPr>
        <xdr:cNvPr id="3" name="Kép 2" descr="maconka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5776" y="0"/>
          <a:ext cx="2714625" cy="51824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5" name="Kép 4" descr="tabl.JP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7" name="Kép 6" descr="tabl.JP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8" name="Kép 7" descr="tabl.JPG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9" name="Kép 8" descr="tabl.JPG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10" name="Kép 9" descr="tabl.JPG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11" name="Kép 10" descr="tabl.JPG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12" name="Kép 11" descr="tabl.JPG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13" name="Kép 12" descr="tabl.JPG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14" name="Kép 13" descr="tabl.JPG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15" name="Kép 14" descr="tabl.JPG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16" name="Kép 15" descr="tabl.JPG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17" name="Kép 16" descr="tabl.JPG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18" name="Kép 17" descr="tabl.JPG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19" name="Kép 18" descr="tabl.JPG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20" name="Kép 19" descr="tabl.JPG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21" name="Kép 20" descr="tabl.JPG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22" name="Kép 21" descr="tabl.JPG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23" name="Kép 22" descr="tabl.JPG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24" name="Kép 23" descr="tabl.JPG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25" name="Kép 24" descr="tabl.JPG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26" name="Kép 25" descr="tabl.JPG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27" name="Kép 26" descr="tabl.JPG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28" name="Kép 27" descr="tabl.JPG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29" name="Kép 28" descr="tabl.JPG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30" name="Kép 29" descr="tabl.JPG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31" name="Kép 30" descr="tabl.JPG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32" name="Kép 31" descr="tabl.JPG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33" name="Kép 32" descr="tabl.JPG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34" name="Kép 33" descr="tabl.JPG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35" name="Kép 34" descr="tabl.JPG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36" name="Kép 35" descr="tabl.JPG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37" name="Kép 36" descr="tabl.JPG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38" name="Kép 37" descr="tabl.JPG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39" name="Kép 38" descr="tabl.JPG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40" name="Kép 39" descr="tabl.JPG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41" name="Kép 40" descr="tabl.JPG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42" name="Kép 41" descr="tabl.JPG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43" name="Kép 42" descr="tabl.JPG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44" name="Kép 43" descr="tabl.JPG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45" name="Kép 44" descr="tabl.JPG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46" name="Kép 45" descr="tabl.JPG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47" name="Kép 46" descr="tabl.JPG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48" name="Kép 47" descr="tabl.JPG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49" name="Kép 48" descr="tabl.JPG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50" name="Kép 49" descr="tabl.JPG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51" name="Kép 50" descr="tabl.JPG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52" name="Kép 51" descr="tabl.JPG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53" name="Kép 52" descr="tabl.JPG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54" name="Kép 53" descr="tabl.JPG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55" name="Kép 54" descr="tabl.JPG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56" name="Kép 55" descr="tabl.JPG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57" name="Kép 56" descr="tabl.JPG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58" name="Kép 57" descr="tabl.JPG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59" name="Kép 58" descr="tabl.JPG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60" name="Kép 59" descr="tabl.JPG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61" name="Kép 60" descr="tabl.JPG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62" name="Kép 61" descr="tabl.JPG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63" name="Kép 62" descr="tabl.JPG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64" name="Kép 63" descr="tabl.JPG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65" name="Kép 64" descr="tabl.JPG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66" name="Kép 65" descr="tabl.JPG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67" name="Kép 66" descr="tabl.JPG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68" name="Kép 67" descr="tabl.JPG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69" name="Kép 68" descr="tabl.JPG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70" name="Kép 69" descr="tabl.JPG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71" name="Kép 70" descr="tabl.JPG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72" name="Kép 71" descr="tabl.JPG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73" name="Kép 72" descr="tabl.JPG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74" name="Kép 73" descr="tabl.JPG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75" name="Kép 74" descr="tabl.JPG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76" name="Kép 75" descr="tabl.JPG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77" name="Kép 76" descr="tabl.JPG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78" name="Kép 77" descr="tabl.JPG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79" name="Kép 78" descr="tabl.JPG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80" name="Kép 79" descr="tabl.JPG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81" name="Kép 80" descr="tabl.JPG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82" name="Kép 81" descr="tabl.JPG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83" name="Kép 82" descr="tabl.JPG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84" name="Kép 83" descr="tabl.JPG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85" name="Kép 84" descr="tabl.JPG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</xdr:row>
      <xdr:rowOff>0</xdr:rowOff>
    </xdr:from>
    <xdr:to>
      <xdr:col>2</xdr:col>
      <xdr:colOff>980700</xdr:colOff>
      <xdr:row>1</xdr:row>
      <xdr:rowOff>244800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190500"/>
          <a:ext cx="2847600" cy="24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29</xdr:row>
      <xdr:rowOff>38099</xdr:rowOff>
    </xdr:to>
    <xdr:pic>
      <xdr:nvPicPr>
        <xdr:cNvPr id="98" name="Kép 97" descr="tabl.JPG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800100</xdr:colOff>
          <xdr:row>2</xdr:row>
          <xdr:rowOff>144780</xdr:rowOff>
        </xdr:from>
        <xdr:to>
          <xdr:col>2</xdr:col>
          <xdr:colOff>1203960</xdr:colOff>
          <xdr:row>3</xdr:row>
          <xdr:rowOff>175260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"A"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</xdr:colOff>
          <xdr:row>2</xdr:row>
          <xdr:rowOff>144780</xdr:rowOff>
        </xdr:from>
        <xdr:to>
          <xdr:col>3</xdr:col>
          <xdr:colOff>419100</xdr:colOff>
          <xdr:row>3</xdr:row>
          <xdr:rowOff>175260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"B"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495300</xdr:colOff>
          <xdr:row>2</xdr:row>
          <xdr:rowOff>144780</xdr:rowOff>
        </xdr:from>
        <xdr:to>
          <xdr:col>3</xdr:col>
          <xdr:colOff>899160</xdr:colOff>
          <xdr:row>3</xdr:row>
          <xdr:rowOff>175260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"C"</a:t>
              </a:r>
            </a:p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"C"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975360</xdr:colOff>
          <xdr:row>2</xdr:row>
          <xdr:rowOff>144780</xdr:rowOff>
        </xdr:from>
        <xdr:to>
          <xdr:col>4</xdr:col>
          <xdr:colOff>259080</xdr:colOff>
          <xdr:row>3</xdr:row>
          <xdr:rowOff>175260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"D"</a:t>
              </a:r>
            </a:p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"C"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335280</xdr:colOff>
          <xdr:row>2</xdr:row>
          <xdr:rowOff>144780</xdr:rowOff>
        </xdr:from>
        <xdr:to>
          <xdr:col>5</xdr:col>
          <xdr:colOff>22860</xdr:colOff>
          <xdr:row>3</xdr:row>
          <xdr:rowOff>175260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"E"</a:t>
              </a:r>
            </a:p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"C"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99060</xdr:colOff>
          <xdr:row>2</xdr:row>
          <xdr:rowOff>144780</xdr:rowOff>
        </xdr:from>
        <xdr:to>
          <xdr:col>5</xdr:col>
          <xdr:colOff>495300</xdr:colOff>
          <xdr:row>3</xdr:row>
          <xdr:rowOff>175260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"F"</a:t>
              </a:r>
            </a:p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"C"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2</xdr:row>
          <xdr:rowOff>144780</xdr:rowOff>
        </xdr:from>
        <xdr:to>
          <xdr:col>5</xdr:col>
          <xdr:colOff>975360</xdr:colOff>
          <xdr:row>3</xdr:row>
          <xdr:rowOff>175260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"G"</a:t>
              </a:r>
            </a:p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"C"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1051560</xdr:colOff>
          <xdr:row>2</xdr:row>
          <xdr:rowOff>144780</xdr:rowOff>
        </xdr:from>
        <xdr:to>
          <xdr:col>5</xdr:col>
          <xdr:colOff>1447800</xdr:colOff>
          <xdr:row>3</xdr:row>
          <xdr:rowOff>175260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"H"</a:t>
              </a:r>
            </a:p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"C"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1524000</xdr:colOff>
          <xdr:row>2</xdr:row>
          <xdr:rowOff>144780</xdr:rowOff>
        </xdr:from>
        <xdr:to>
          <xdr:col>6</xdr:col>
          <xdr:colOff>381000</xdr:colOff>
          <xdr:row>3</xdr:row>
          <xdr:rowOff>175260</xdr:rowOff>
        </xdr:to>
        <xdr:sp macro="" textlink="">
          <xdr:nvSpPr>
            <xdr:cNvPr id="2060" name="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"I"</a:t>
              </a:r>
            </a:p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"C"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457200</xdr:colOff>
          <xdr:row>2</xdr:row>
          <xdr:rowOff>144780</xdr:rowOff>
        </xdr:from>
        <xdr:to>
          <xdr:col>7</xdr:col>
          <xdr:colOff>251460</xdr:colOff>
          <xdr:row>3</xdr:row>
          <xdr:rowOff>175260</xdr:rowOff>
        </xdr:to>
        <xdr:sp macro="" textlink="">
          <xdr:nvSpPr>
            <xdr:cNvPr id="2061" name="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"J"</a:t>
              </a:r>
            </a:p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"C"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678180</xdr:colOff>
          <xdr:row>2</xdr:row>
          <xdr:rowOff>144780</xdr:rowOff>
        </xdr:from>
        <xdr:to>
          <xdr:col>8</xdr:col>
          <xdr:colOff>1074420</xdr:colOff>
          <xdr:row>3</xdr:row>
          <xdr:rowOff>175260</xdr:rowOff>
        </xdr:to>
        <xdr:sp macro="" textlink="">
          <xdr:nvSpPr>
            <xdr:cNvPr id="2062" name="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6600"/>
                  </a:solidFill>
                  <a:latin typeface="Calibri"/>
                  <a:cs typeface="Calibri"/>
                </a:rPr>
                <a:t>"GY"</a:t>
              </a:r>
            </a:p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6600"/>
                  </a:solidFill>
                  <a:latin typeface="Calibri"/>
                  <a:cs typeface="Calibri"/>
                </a:rPr>
                <a:t>"C"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1409700</xdr:colOff>
          <xdr:row>2</xdr:row>
          <xdr:rowOff>144780</xdr:rowOff>
        </xdr:from>
        <xdr:to>
          <xdr:col>2</xdr:col>
          <xdr:colOff>731520</xdr:colOff>
          <xdr:row>3</xdr:row>
          <xdr:rowOff>175260</xdr:rowOff>
        </xdr:to>
        <xdr:sp macro="" textlink="">
          <xdr:nvSpPr>
            <xdr:cNvPr id="2063" name="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Szektorok: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327660</xdr:colOff>
          <xdr:row>2</xdr:row>
          <xdr:rowOff>144780</xdr:rowOff>
        </xdr:from>
        <xdr:to>
          <xdr:col>8</xdr:col>
          <xdr:colOff>114300</xdr:colOff>
          <xdr:row>3</xdr:row>
          <xdr:rowOff>175260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"K"</a:t>
              </a:r>
              <a:endParaRPr lang="hu-HU" sz="1100" b="1" i="0" u="none" strike="noStrike" baseline="0">
                <a:solidFill>
                  <a:srgbClr val="008000"/>
                </a:solidFill>
                <a:latin typeface="Calibri"/>
                <a:cs typeface="Calibri"/>
              </a:endParaRPr>
            </a:p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"C"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2</xdr:row>
          <xdr:rowOff>144780</xdr:rowOff>
        </xdr:from>
        <xdr:to>
          <xdr:col>8</xdr:col>
          <xdr:colOff>594360</xdr:colOff>
          <xdr:row>3</xdr:row>
          <xdr:rowOff>175260</xdr:rowOff>
        </xdr:to>
        <xdr:sp macro="" textlink="">
          <xdr:nvSpPr>
            <xdr:cNvPr id="2065" name="Butto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"L"</a:t>
              </a:r>
            </a:p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"C"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390525</xdr:colOff>
      <xdr:row>0</xdr:row>
      <xdr:rowOff>24235</xdr:rowOff>
    </xdr:from>
    <xdr:to>
      <xdr:col>9</xdr:col>
      <xdr:colOff>413962</xdr:colOff>
      <xdr:row>2</xdr:row>
      <xdr:rowOff>99591</xdr:rowOff>
    </xdr:to>
    <xdr:pic>
      <xdr:nvPicPr>
        <xdr:cNvPr id="3" name="Kép 2" descr="maconka2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4235"/>
          <a:ext cx="2623762" cy="51350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200025</xdr:rowOff>
    </xdr:from>
    <xdr:to>
      <xdr:col>2</xdr:col>
      <xdr:colOff>912450</xdr:colOff>
      <xdr:row>2</xdr:row>
      <xdr:rowOff>28275</xdr:rowOff>
    </xdr:to>
    <xdr:pic>
      <xdr:nvPicPr>
        <xdr:cNvPr id="4" name="Picture 2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200025"/>
          <a:ext cx="2646000" cy="266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289560</xdr:colOff>
          <xdr:row>1</xdr:row>
          <xdr:rowOff>106680</xdr:rowOff>
        </xdr:from>
        <xdr:to>
          <xdr:col>11</xdr:col>
          <xdr:colOff>259080</xdr:colOff>
          <xdr:row>2</xdr:row>
          <xdr:rowOff>121920</xdr:rowOff>
        </xdr:to>
        <xdr:sp macro="" textlink="">
          <xdr:nvSpPr>
            <xdr:cNvPr id="55298" name="Button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8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0080"/>
                  </a:solidFill>
                  <a:latin typeface="Calibri"/>
                  <a:cs typeface="Calibri"/>
                </a:rPr>
                <a:t>Feeder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68580</xdr:colOff>
          <xdr:row>1</xdr:row>
          <xdr:rowOff>106680</xdr:rowOff>
        </xdr:from>
        <xdr:to>
          <xdr:col>12</xdr:col>
          <xdr:colOff>685800</xdr:colOff>
          <xdr:row>2</xdr:row>
          <xdr:rowOff>121920</xdr:rowOff>
        </xdr:to>
        <xdr:sp macro="" textlink="">
          <xdr:nvSpPr>
            <xdr:cNvPr id="55302" name="Button 6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8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FF6600"/>
                  </a:solidFill>
                  <a:latin typeface="Calibri"/>
                  <a:cs typeface="Calibri"/>
                </a:rPr>
                <a:t>Gyermek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175260</xdr:colOff>
          <xdr:row>0</xdr:row>
          <xdr:rowOff>68580</xdr:rowOff>
        </xdr:from>
        <xdr:to>
          <xdr:col>12</xdr:col>
          <xdr:colOff>594360</xdr:colOff>
          <xdr:row>1</xdr:row>
          <xdr:rowOff>45720</xdr:rowOff>
        </xdr:to>
        <xdr:sp macro="" textlink="">
          <xdr:nvSpPr>
            <xdr:cNvPr id="55301" name="Button 5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8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Úszós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266700</xdr:colOff>
          <xdr:row>0</xdr:row>
          <xdr:rowOff>60960</xdr:rowOff>
        </xdr:from>
        <xdr:to>
          <xdr:col>11</xdr:col>
          <xdr:colOff>289560</xdr:colOff>
          <xdr:row>1</xdr:row>
          <xdr:rowOff>38100</xdr:rowOff>
        </xdr:to>
        <xdr:sp macro="" textlink="">
          <xdr:nvSpPr>
            <xdr:cNvPr id="55300" name="Button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8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1" i="0" u="none" strike="noStrike" baseline="0">
                  <a:solidFill>
                    <a:srgbClr val="3366FF"/>
                  </a:solidFill>
                  <a:latin typeface="Calibri"/>
                  <a:cs typeface="Calibri"/>
                </a:rPr>
                <a:t>Method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428625</xdr:colOff>
      <xdr:row>0</xdr:row>
      <xdr:rowOff>0</xdr:rowOff>
    </xdr:from>
    <xdr:to>
      <xdr:col>7</xdr:col>
      <xdr:colOff>247650</xdr:colOff>
      <xdr:row>2</xdr:row>
      <xdr:rowOff>137241</xdr:rowOff>
    </xdr:to>
    <xdr:pic>
      <xdr:nvPicPr>
        <xdr:cNvPr id="2" name="Kép 1" descr="maconka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76775" y="0"/>
          <a:ext cx="2647950" cy="51824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</xdr:row>
      <xdr:rowOff>9525</xdr:rowOff>
    </xdr:from>
    <xdr:to>
      <xdr:col>8</xdr:col>
      <xdr:colOff>1123950</xdr:colOff>
      <xdr:row>28</xdr:row>
      <xdr:rowOff>38099</xdr:rowOff>
    </xdr:to>
    <xdr:pic>
      <xdr:nvPicPr>
        <xdr:cNvPr id="3" name="Kép 2" descr="tabl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4324350"/>
          <a:ext cx="8791575" cy="2066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13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5" Type="http://schemas.openxmlformats.org/officeDocument/2006/relationships/ctrlProp" Target="../ctrlProps/ctrlProp5.xml"/><Relationship Id="rId15" Type="http://schemas.openxmlformats.org/officeDocument/2006/relationships/ctrlProp" Target="../ctrlProps/ctrlProp15.xml"/><Relationship Id="rId10" Type="http://schemas.openxmlformats.org/officeDocument/2006/relationships/ctrlProp" Target="../ctrlProps/ctrlProp10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4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10" Type="http://schemas.openxmlformats.org/officeDocument/2006/relationships/ctrlProp" Target="../ctrlProps/ctrlProp38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5" Type="http://schemas.openxmlformats.org/officeDocument/2006/relationships/ctrlProp" Target="../ctrlProps/ctrlProp40.xml"/><Relationship Id="rId15" Type="http://schemas.openxmlformats.org/officeDocument/2006/relationships/ctrlProp" Target="../ctrlProps/ctrlProp50.xml"/><Relationship Id="rId10" Type="http://schemas.openxmlformats.org/officeDocument/2006/relationships/ctrlProp" Target="../ctrlProps/ctrlProp45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5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55.xml"/><Relationship Id="rId5" Type="http://schemas.openxmlformats.org/officeDocument/2006/relationships/ctrlProp" Target="../ctrlProps/ctrlProp54.xml"/><Relationship Id="rId4" Type="http://schemas.openxmlformats.org/officeDocument/2006/relationships/ctrlProp" Target="../ctrlProps/ctrlProp5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4">
    <tabColor rgb="FFC00000"/>
  </sheetPr>
  <dimension ref="B1:K19"/>
  <sheetViews>
    <sheetView showGridLines="0" showRowColHeaders="0" workbookViewId="0">
      <selection activeCell="B1" sqref="B1"/>
    </sheetView>
  </sheetViews>
  <sheetFormatPr defaultRowHeight="14.4" x14ac:dyDescent="0.3"/>
  <cols>
    <col min="1" max="1" width="5.33203125" customWidth="1"/>
    <col min="2" max="2" width="13" customWidth="1"/>
  </cols>
  <sheetData>
    <row r="1" spans="2:11" ht="21" x14ac:dyDescent="0.4">
      <c r="B1" s="39" t="s">
        <v>35</v>
      </c>
      <c r="C1" s="39" t="s">
        <v>36</v>
      </c>
      <c r="D1" s="37"/>
      <c r="E1" s="37"/>
      <c r="F1" s="37"/>
      <c r="G1" s="37"/>
      <c r="H1" s="37"/>
    </row>
    <row r="4" spans="2:11" x14ac:dyDescent="0.3">
      <c r="B4" s="34" t="s">
        <v>31</v>
      </c>
      <c r="C4" t="s">
        <v>75</v>
      </c>
    </row>
    <row r="5" spans="2:11" x14ac:dyDescent="0.3">
      <c r="C5" t="s">
        <v>32</v>
      </c>
    </row>
    <row r="6" spans="2:11" x14ac:dyDescent="0.3">
      <c r="C6" t="s">
        <v>33</v>
      </c>
    </row>
    <row r="8" spans="2:11" ht="18" x14ac:dyDescent="0.35">
      <c r="C8" t="s">
        <v>181</v>
      </c>
      <c r="E8" t="s">
        <v>202</v>
      </c>
      <c r="G8" t="s">
        <v>203</v>
      </c>
      <c r="I8" t="s">
        <v>182</v>
      </c>
      <c r="K8" t="s">
        <v>183</v>
      </c>
    </row>
    <row r="10" spans="2:11" x14ac:dyDescent="0.3">
      <c r="B10" s="35" t="s">
        <v>117</v>
      </c>
      <c r="C10" t="s">
        <v>38</v>
      </c>
    </row>
    <row r="12" spans="2:11" x14ac:dyDescent="0.3">
      <c r="B12" s="36" t="s">
        <v>34</v>
      </c>
      <c r="C12" t="s">
        <v>37</v>
      </c>
    </row>
    <row r="14" spans="2:11" x14ac:dyDescent="0.3">
      <c r="C14" t="s">
        <v>43</v>
      </c>
    </row>
    <row r="16" spans="2:11" x14ac:dyDescent="0.3">
      <c r="B16" s="67" t="s">
        <v>72</v>
      </c>
      <c r="C16" t="s">
        <v>118</v>
      </c>
    </row>
    <row r="18" spans="2:3" x14ac:dyDescent="0.3">
      <c r="B18" s="67" t="s">
        <v>84</v>
      </c>
      <c r="C18" t="s">
        <v>85</v>
      </c>
    </row>
    <row r="19" spans="2:3" x14ac:dyDescent="0.3">
      <c r="C19" t="s">
        <v>244</v>
      </c>
    </row>
  </sheetData>
  <sheetProtection algorithmName="SHA-512" hashValue="rZ4IqUQZC6aRubhuYBDY/E09WXUDBrQXHoDLSjB7xPRTFG6f/bpLNjxjlp0UPSlu88sIm5VTf0MzQEvJY10qAg==" saltValue="fslY/hEdnJFM2chFgMpz3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5">
    <tabColor theme="0" tint="-4.9989318521683403E-2"/>
  </sheetPr>
  <dimension ref="A1:I32"/>
  <sheetViews>
    <sheetView showGridLines="0" showRowColHeaders="0" workbookViewId="0">
      <selection activeCell="A18" sqref="A18:I32"/>
    </sheetView>
  </sheetViews>
  <sheetFormatPr defaultColWidth="9.109375" defaultRowHeight="14.4" x14ac:dyDescent="0.3"/>
  <cols>
    <col min="1" max="1" width="5.44140625" style="3" customWidth="1"/>
    <col min="2" max="2" width="22.6640625" style="3" customWidth="1"/>
    <col min="3" max="3" width="18.88671875" style="1" customWidth="1"/>
    <col min="4" max="4" width="16.6640625" style="2" customWidth="1"/>
    <col min="5" max="5" width="10.109375" style="3" customWidth="1"/>
    <col min="6" max="6" width="23.109375" style="2" customWidth="1"/>
    <col min="7" max="8" width="9.109375" style="2"/>
    <col min="9" max="9" width="17" style="2" customWidth="1"/>
    <col min="10" max="16384" width="9.109375" style="2"/>
  </cols>
  <sheetData>
    <row r="1" spans="1:9" x14ac:dyDescent="0.3">
      <c r="A1" s="84" t="str">
        <f>alap!A1</f>
        <v>XXIV. TÓPARTI RANDEVÚ - ST. HUBERTUS KUPA</v>
      </c>
      <c r="I1" s="16" t="s">
        <v>40</v>
      </c>
    </row>
    <row r="2" spans="1:9" x14ac:dyDescent="0.3">
      <c r="A2" s="1" t="str">
        <f>alap!A2</f>
        <v>Maconka Barátai '22 Szuperkupa 3. forduló</v>
      </c>
      <c r="I2" s="3" t="s">
        <v>39</v>
      </c>
    </row>
    <row r="3" spans="1:9" x14ac:dyDescent="0.3">
      <c r="A3" s="1" t="str">
        <f>alap!A3</f>
        <v>2022.06.11. szombat</v>
      </c>
    </row>
    <row r="5" spans="1:9" ht="19.5" customHeight="1" thickBot="1" x14ac:dyDescent="0.35">
      <c r="A5" s="4" t="s">
        <v>0</v>
      </c>
      <c r="B5" s="5" t="s">
        <v>1</v>
      </c>
      <c r="C5" s="5" t="s">
        <v>2</v>
      </c>
      <c r="D5" s="5" t="s">
        <v>4</v>
      </c>
      <c r="E5" s="5" t="s">
        <v>3</v>
      </c>
      <c r="F5" s="6" t="s">
        <v>5</v>
      </c>
      <c r="G5" s="41" t="s">
        <v>6</v>
      </c>
      <c r="H5" s="40" t="s">
        <v>7</v>
      </c>
      <c r="I5" s="4" t="s">
        <v>8</v>
      </c>
    </row>
    <row r="6" spans="1:9" ht="20.100000000000001" customHeight="1" thickTop="1" x14ac:dyDescent="0.3">
      <c r="A6" s="8"/>
      <c r="B6" s="9"/>
      <c r="C6" s="9"/>
      <c r="D6" s="9"/>
      <c r="E6" s="9"/>
      <c r="F6" s="9"/>
      <c r="G6" s="44"/>
      <c r="H6" s="45"/>
      <c r="I6" s="24"/>
    </row>
    <row r="7" spans="1:9" ht="20.100000000000001" customHeight="1" x14ac:dyDescent="0.3">
      <c r="A7" s="10"/>
      <c r="B7" s="11"/>
      <c r="C7" s="11"/>
      <c r="D7" s="11"/>
      <c r="E7" s="11"/>
      <c r="F7" s="11"/>
      <c r="G7" s="42"/>
      <c r="H7" s="43"/>
      <c r="I7" s="25"/>
    </row>
    <row r="8" spans="1:9" ht="20.100000000000001" customHeight="1" x14ac:dyDescent="0.3">
      <c r="A8" s="10"/>
      <c r="B8" s="11"/>
      <c r="C8" s="11"/>
      <c r="D8" s="11"/>
      <c r="E8" s="11"/>
      <c r="F8" s="11"/>
      <c r="G8" s="42"/>
      <c r="H8" s="43"/>
      <c r="I8" s="25"/>
    </row>
    <row r="9" spans="1:9" ht="20.100000000000001" customHeight="1" x14ac:dyDescent="0.3">
      <c r="A9" s="10"/>
      <c r="B9" s="11"/>
      <c r="C9" s="11"/>
      <c r="D9" s="11"/>
      <c r="E9" s="11"/>
      <c r="F9" s="11"/>
      <c r="G9" s="42"/>
      <c r="H9" s="43"/>
      <c r="I9" s="25"/>
    </row>
    <row r="10" spans="1:9" ht="20.100000000000001" customHeight="1" x14ac:dyDescent="0.3">
      <c r="A10" s="10"/>
      <c r="B10" s="11"/>
      <c r="C10" s="11"/>
      <c r="D10" s="11"/>
      <c r="E10" s="11"/>
      <c r="F10" s="11"/>
      <c r="G10" s="42"/>
      <c r="H10" s="43"/>
      <c r="I10" s="25"/>
    </row>
    <row r="11" spans="1:9" ht="20.100000000000001" customHeight="1" x14ac:dyDescent="0.3">
      <c r="A11" s="10"/>
      <c r="B11" s="11"/>
      <c r="C11" s="11"/>
      <c r="D11" s="11"/>
      <c r="E11" s="11"/>
      <c r="F11" s="11"/>
      <c r="G11" s="42"/>
      <c r="H11" s="43"/>
      <c r="I11" s="25"/>
    </row>
    <row r="12" spans="1:9" ht="20.100000000000001" customHeight="1" x14ac:dyDescent="0.3">
      <c r="A12" s="10"/>
      <c r="B12" s="11"/>
      <c r="C12" s="11"/>
      <c r="D12" s="11"/>
      <c r="E12" s="11"/>
      <c r="F12" s="11"/>
      <c r="G12" s="42"/>
      <c r="H12" s="43"/>
      <c r="I12" s="25"/>
    </row>
    <row r="13" spans="1:9" ht="20.100000000000001" customHeight="1" x14ac:dyDescent="0.3">
      <c r="A13" s="10"/>
      <c r="B13" s="11"/>
      <c r="C13" s="11"/>
      <c r="D13" s="11"/>
      <c r="E13" s="11"/>
      <c r="F13" s="11"/>
      <c r="G13" s="42"/>
      <c r="H13" s="43"/>
      <c r="I13" s="25"/>
    </row>
    <row r="14" spans="1:9" ht="20.100000000000001" customHeight="1" x14ac:dyDescent="0.3">
      <c r="A14" s="10"/>
      <c r="B14" s="11"/>
      <c r="C14" s="11"/>
      <c r="D14" s="11"/>
      <c r="E14" s="11"/>
      <c r="F14" s="11"/>
      <c r="G14" s="42"/>
      <c r="H14" s="43"/>
      <c r="I14" s="25"/>
    </row>
    <row r="15" spans="1:9" ht="20.100000000000001" customHeight="1" x14ac:dyDescent="0.3">
      <c r="A15" s="10"/>
      <c r="B15" s="11"/>
      <c r="C15" s="11"/>
      <c r="D15" s="11"/>
      <c r="E15" s="11"/>
      <c r="F15" s="11"/>
      <c r="G15" s="42"/>
      <c r="H15" s="43"/>
      <c r="I15" s="25"/>
    </row>
    <row r="16" spans="1:9" ht="20.100000000000001" customHeight="1" x14ac:dyDescent="0.3">
      <c r="A16" s="10"/>
      <c r="B16" s="11"/>
      <c r="C16" s="11"/>
      <c r="D16" s="11"/>
      <c r="E16" s="11"/>
      <c r="F16" s="11"/>
      <c r="G16" s="42"/>
      <c r="H16" s="43"/>
      <c r="I16" s="25"/>
    </row>
    <row r="17" spans="1:9" ht="20.100000000000001" customHeight="1" x14ac:dyDescent="0.3">
      <c r="A17" s="10"/>
      <c r="B17" s="11"/>
      <c r="C17" s="11"/>
      <c r="D17" s="11"/>
      <c r="E17" s="11"/>
      <c r="F17" s="11"/>
      <c r="G17" s="42"/>
      <c r="H17" s="43"/>
      <c r="I17" s="15"/>
    </row>
    <row r="18" spans="1:9" ht="6.75" customHeight="1" x14ac:dyDescent="0.3"/>
    <row r="19" spans="1:9" ht="20.100000000000001" customHeight="1" thickBot="1" x14ac:dyDescent="0.35">
      <c r="A19" s="222" t="s">
        <v>14</v>
      </c>
      <c r="H19" s="16"/>
      <c r="I19" s="38"/>
    </row>
    <row r="20" spans="1:9" ht="5.0999999999999996" customHeight="1" x14ac:dyDescent="0.3">
      <c r="A20" s="223"/>
      <c r="B20" s="224"/>
      <c r="C20" s="225"/>
      <c r="D20" s="226"/>
      <c r="E20" s="224"/>
      <c r="F20" s="226"/>
      <c r="G20" s="226"/>
      <c r="H20" s="226"/>
      <c r="I20" s="227"/>
    </row>
    <row r="21" spans="1:9" ht="20.100000000000001" customHeight="1" x14ac:dyDescent="0.3">
      <c r="A21" s="228"/>
      <c r="B21" s="229"/>
      <c r="C21" s="230"/>
      <c r="D21" s="231"/>
      <c r="E21" s="229"/>
      <c r="F21" s="231"/>
      <c r="G21" s="231"/>
      <c r="H21" s="231"/>
      <c r="I21" s="232"/>
    </row>
    <row r="22" spans="1:9" ht="20.100000000000001" customHeight="1" x14ac:dyDescent="0.3">
      <c r="A22" s="228"/>
      <c r="B22" s="229"/>
      <c r="C22" s="230"/>
      <c r="D22" s="231"/>
      <c r="E22" s="229"/>
      <c r="F22" s="231"/>
      <c r="G22" s="231"/>
      <c r="H22" s="231"/>
      <c r="I22" s="232"/>
    </row>
    <row r="23" spans="1:9" ht="20.100000000000001" customHeight="1" x14ac:dyDescent="0.3">
      <c r="A23" s="228"/>
      <c r="B23" s="229"/>
      <c r="C23" s="230"/>
      <c r="D23" s="231"/>
      <c r="E23" s="229"/>
      <c r="F23" s="231"/>
      <c r="G23" s="231"/>
      <c r="H23" s="231"/>
      <c r="I23" s="232"/>
    </row>
    <row r="24" spans="1:9" ht="20.100000000000001" customHeight="1" x14ac:dyDescent="0.3">
      <c r="A24" s="228"/>
      <c r="B24" s="229"/>
      <c r="C24" s="230"/>
      <c r="D24" s="231"/>
      <c r="E24" s="229"/>
      <c r="F24" s="231"/>
      <c r="G24" s="231"/>
      <c r="H24" s="231"/>
      <c r="I24" s="232"/>
    </row>
    <row r="25" spans="1:9" ht="20.100000000000001" customHeight="1" x14ac:dyDescent="0.3">
      <c r="A25" s="228"/>
      <c r="B25" s="229"/>
      <c r="C25" s="230"/>
      <c r="D25" s="231"/>
      <c r="E25" s="229"/>
      <c r="F25" s="231"/>
      <c r="G25" s="231"/>
      <c r="H25" s="231"/>
      <c r="I25" s="232"/>
    </row>
    <row r="26" spans="1:9" ht="20.100000000000001" customHeight="1" x14ac:dyDescent="0.3">
      <c r="A26" s="228"/>
      <c r="B26" s="229"/>
      <c r="C26" s="230"/>
      <c r="D26" s="231"/>
      <c r="E26" s="229"/>
      <c r="F26" s="231"/>
      <c r="G26" s="231"/>
      <c r="H26" s="231"/>
      <c r="I26" s="232"/>
    </row>
    <row r="27" spans="1:9" ht="20.100000000000001" customHeight="1" x14ac:dyDescent="0.3">
      <c r="A27" s="228"/>
      <c r="B27" s="229"/>
      <c r="C27" s="230"/>
      <c r="D27" s="231"/>
      <c r="E27" s="229"/>
      <c r="F27" s="231"/>
      <c r="G27" s="231"/>
      <c r="H27" s="231"/>
      <c r="I27" s="232"/>
    </row>
    <row r="28" spans="1:9" ht="20.100000000000001" customHeight="1" x14ac:dyDescent="0.3">
      <c r="A28" s="228"/>
      <c r="B28" s="229"/>
      <c r="C28" s="230"/>
      <c r="D28" s="231"/>
      <c r="E28" s="229"/>
      <c r="F28" s="231"/>
      <c r="G28" s="231"/>
      <c r="H28" s="231"/>
      <c r="I28" s="232"/>
    </row>
    <row r="29" spans="1:9" ht="5.0999999999999996" customHeight="1" thickBot="1" x14ac:dyDescent="0.35">
      <c r="A29" s="233"/>
      <c r="B29" s="234"/>
      <c r="C29" s="235"/>
      <c r="D29" s="236"/>
      <c r="E29" s="234"/>
      <c r="F29" s="236"/>
      <c r="G29" s="236"/>
      <c r="H29" s="236"/>
      <c r="I29" s="237"/>
    </row>
    <row r="30" spans="1:9" x14ac:dyDescent="0.3">
      <c r="A30" s="222" t="s">
        <v>119</v>
      </c>
    </row>
    <row r="31" spans="1:9" x14ac:dyDescent="0.3">
      <c r="A31" s="33" t="s">
        <v>16</v>
      </c>
    </row>
    <row r="32" spans="1:9" x14ac:dyDescent="0.3">
      <c r="A32" s="33" t="s">
        <v>17</v>
      </c>
    </row>
  </sheetData>
  <sheetProtection password="C71F" sheet="1" objects="1" scenarios="1"/>
  <printOptions horizontalCentered="1"/>
  <pageMargins left="0.51181102362204722" right="0.51181102362204722" top="0.31496062992125984" bottom="0.31496062992125984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3">
    <tabColor theme="0" tint="-4.9989318521683403E-2"/>
  </sheetPr>
  <dimension ref="A1:M112"/>
  <sheetViews>
    <sheetView showGridLines="0" zoomScaleNormal="100" workbookViewId="0">
      <selection activeCell="A5" sqref="A5"/>
    </sheetView>
  </sheetViews>
  <sheetFormatPr defaultColWidth="9.109375" defaultRowHeight="14.4" x14ac:dyDescent="0.3"/>
  <cols>
    <col min="1" max="1" width="3.5546875" style="3" customWidth="1"/>
    <col min="2" max="2" width="17.6640625" style="2" customWidth="1"/>
    <col min="3" max="3" width="13.6640625" style="2" customWidth="1"/>
    <col min="4" max="4" width="12.5546875" style="238" customWidth="1"/>
    <col min="5" max="5" width="8.33203125" style="238" customWidth="1"/>
    <col min="6" max="6" width="4.5546875" style="238" customWidth="1"/>
    <col min="7" max="12" width="8.6640625" style="2" customWidth="1"/>
    <col min="13" max="13" width="21.33203125" style="2" customWidth="1"/>
    <col min="14" max="16384" width="9.109375" style="2"/>
  </cols>
  <sheetData>
    <row r="1" spans="1:13" ht="18.75" customHeight="1" x14ac:dyDescent="0.3">
      <c r="A1" s="84" t="str">
        <f>alap!A1</f>
        <v>XXIV. TÓPARTI RANDEVÚ - ST. HUBERTUS KUPA</v>
      </c>
    </row>
    <row r="2" spans="1:13" ht="15.75" customHeight="1" x14ac:dyDescent="0.3">
      <c r="A2" s="84"/>
      <c r="C2" s="2" t="s">
        <v>364</v>
      </c>
    </row>
    <row r="3" spans="1:13" x14ac:dyDescent="0.3">
      <c r="A3" s="1" t="str">
        <f>alap!A3</f>
        <v>2022.06.11. szombat</v>
      </c>
    </row>
    <row r="4" spans="1:13" ht="15" customHeight="1" x14ac:dyDescent="0.3">
      <c r="C4" s="246"/>
      <c r="D4" s="247"/>
      <c r="G4" s="259"/>
      <c r="H4" s="259"/>
      <c r="I4" s="259"/>
      <c r="J4" s="259"/>
      <c r="K4" s="259"/>
      <c r="L4" s="259"/>
      <c r="M4" s="255" t="s">
        <v>120</v>
      </c>
    </row>
    <row r="5" spans="1:13" ht="29.25" customHeight="1" x14ac:dyDescent="0.3">
      <c r="A5" s="252" t="s">
        <v>0</v>
      </c>
      <c r="B5" s="253" t="s">
        <v>1</v>
      </c>
      <c r="C5" s="253" t="s">
        <v>2</v>
      </c>
      <c r="D5" s="254" t="s">
        <v>4</v>
      </c>
      <c r="E5" s="254" t="s">
        <v>3</v>
      </c>
      <c r="F5" s="254" t="s">
        <v>2</v>
      </c>
      <c r="G5" s="288" t="s">
        <v>196</v>
      </c>
      <c r="H5" s="289" t="s">
        <v>197</v>
      </c>
      <c r="I5" s="290" t="s">
        <v>194</v>
      </c>
      <c r="J5" s="291" t="s">
        <v>195</v>
      </c>
      <c r="K5" s="257" t="s">
        <v>121</v>
      </c>
      <c r="L5" s="294" t="s">
        <v>122</v>
      </c>
      <c r="M5" s="254" t="s">
        <v>5</v>
      </c>
    </row>
    <row r="6" spans="1:13" ht="24.9" customHeight="1" x14ac:dyDescent="0.3">
      <c r="A6" s="256"/>
      <c r="B6" s="251"/>
      <c r="C6" s="251"/>
      <c r="D6" s="243"/>
      <c r="E6" s="243"/>
      <c r="F6" s="239"/>
      <c r="G6" s="293"/>
      <c r="H6" s="293"/>
      <c r="I6" s="293"/>
      <c r="J6" s="293"/>
      <c r="K6" s="258"/>
      <c r="L6" s="258"/>
      <c r="M6" s="241"/>
    </row>
    <row r="7" spans="1:13" ht="24.9" customHeight="1" x14ac:dyDescent="0.3">
      <c r="A7" s="256"/>
      <c r="B7" s="251"/>
      <c r="C7" s="251"/>
      <c r="D7" s="244"/>
      <c r="E7" s="244"/>
      <c r="F7" s="240"/>
      <c r="G7" s="293"/>
      <c r="H7" s="293"/>
      <c r="I7" s="293"/>
      <c r="J7" s="293"/>
      <c r="K7" s="258"/>
      <c r="L7" s="258"/>
      <c r="M7" s="241"/>
    </row>
    <row r="8" spans="1:13" ht="24.9" customHeight="1" x14ac:dyDescent="0.3">
      <c r="A8" s="256"/>
      <c r="B8" s="251"/>
      <c r="C8" s="251"/>
      <c r="D8" s="244"/>
      <c r="E8" s="244"/>
      <c r="F8" s="240"/>
      <c r="G8" s="293"/>
      <c r="H8" s="293"/>
      <c r="I8" s="293"/>
      <c r="J8" s="293"/>
      <c r="K8" s="258"/>
      <c r="L8" s="258"/>
      <c r="M8" s="241"/>
    </row>
    <row r="9" spans="1:13" ht="24.9" customHeight="1" x14ac:dyDescent="0.3">
      <c r="A9" s="256"/>
      <c r="B9" s="251"/>
      <c r="C9" s="251"/>
      <c r="D9" s="244"/>
      <c r="E9" s="244"/>
      <c r="F9" s="240"/>
      <c r="G9" s="293"/>
      <c r="H9" s="293"/>
      <c r="I9" s="293"/>
      <c r="J9" s="293"/>
      <c r="K9" s="258"/>
      <c r="L9" s="258"/>
      <c r="M9" s="241"/>
    </row>
    <row r="10" spans="1:13" ht="24.9" customHeight="1" x14ac:dyDescent="0.3">
      <c r="A10" s="256"/>
      <c r="B10" s="251"/>
      <c r="C10" s="251"/>
      <c r="D10" s="244"/>
      <c r="E10" s="244"/>
      <c r="F10" s="240"/>
      <c r="G10" s="293"/>
      <c r="H10" s="293"/>
      <c r="I10" s="293"/>
      <c r="J10" s="293"/>
      <c r="K10" s="258"/>
      <c r="L10" s="258"/>
      <c r="M10" s="241"/>
    </row>
    <row r="11" spans="1:13" ht="24.9" customHeight="1" x14ac:dyDescent="0.3">
      <c r="A11" s="256"/>
      <c r="B11" s="241"/>
      <c r="C11" s="241"/>
      <c r="D11" s="245"/>
      <c r="E11" s="245"/>
      <c r="F11" s="241"/>
      <c r="G11" s="293"/>
      <c r="H11" s="293"/>
      <c r="I11" s="293"/>
      <c r="J11" s="293"/>
      <c r="K11" s="258"/>
      <c r="L11" s="258"/>
      <c r="M11" s="241"/>
    </row>
    <row r="12" spans="1:13" ht="24.9" customHeight="1" x14ac:dyDescent="0.3">
      <c r="A12" s="256"/>
      <c r="B12" s="241"/>
      <c r="C12" s="241"/>
      <c r="D12" s="245"/>
      <c r="E12" s="245"/>
      <c r="F12" s="241"/>
      <c r="G12" s="293"/>
      <c r="H12" s="293"/>
      <c r="I12" s="293"/>
      <c r="J12" s="293"/>
      <c r="K12" s="258"/>
      <c r="L12" s="258"/>
      <c r="M12" s="241"/>
    </row>
    <row r="13" spans="1:13" ht="24.9" customHeight="1" x14ac:dyDescent="0.3">
      <c r="A13" s="256"/>
      <c r="B13" s="241"/>
      <c r="C13" s="241"/>
      <c r="D13" s="245"/>
      <c r="E13" s="245"/>
      <c r="F13" s="241"/>
      <c r="G13" s="293"/>
      <c r="H13" s="293"/>
      <c r="I13" s="293"/>
      <c r="J13" s="293"/>
      <c r="K13" s="258"/>
      <c r="L13" s="258"/>
      <c r="M13" s="241"/>
    </row>
    <row r="14" spans="1:13" ht="24.9" customHeight="1" x14ac:dyDescent="0.3">
      <c r="A14" s="256"/>
      <c r="B14" s="241"/>
      <c r="C14" s="241"/>
      <c r="D14" s="245"/>
      <c r="E14" s="245"/>
      <c r="F14" s="241"/>
      <c r="G14" s="293"/>
      <c r="H14" s="293"/>
      <c r="I14" s="293"/>
      <c r="J14" s="293"/>
      <c r="K14" s="258"/>
      <c r="L14" s="258"/>
      <c r="M14" s="241"/>
    </row>
    <row r="15" spans="1:13" ht="24.9" customHeight="1" x14ac:dyDescent="0.3">
      <c r="A15" s="256"/>
      <c r="B15" s="241"/>
      <c r="C15" s="241"/>
      <c r="D15" s="245"/>
      <c r="E15" s="245"/>
      <c r="F15" s="241"/>
      <c r="G15" s="293"/>
      <c r="H15" s="293"/>
      <c r="I15" s="293"/>
      <c r="J15" s="293"/>
      <c r="K15" s="258"/>
      <c r="L15" s="258"/>
      <c r="M15" s="241"/>
    </row>
    <row r="16" spans="1:13" ht="24.9" customHeight="1" x14ac:dyDescent="0.3">
      <c r="A16" s="256"/>
      <c r="B16" s="241"/>
      <c r="C16" s="241"/>
      <c r="D16" s="245"/>
      <c r="E16" s="245"/>
      <c r="F16" s="241"/>
      <c r="G16" s="293"/>
      <c r="H16" s="293"/>
      <c r="I16" s="293"/>
      <c r="J16" s="293"/>
      <c r="K16" s="258"/>
      <c r="L16" s="258"/>
      <c r="M16" s="241"/>
    </row>
    <row r="17" spans="1:13" ht="24.9" customHeight="1" x14ac:dyDescent="0.3">
      <c r="A17" s="256"/>
      <c r="B17" s="241"/>
      <c r="C17" s="241"/>
      <c r="D17" s="245"/>
      <c r="E17" s="245"/>
      <c r="F17" s="241"/>
      <c r="G17" s="293"/>
      <c r="H17" s="293"/>
      <c r="I17" s="293"/>
      <c r="J17" s="293"/>
      <c r="K17" s="258"/>
      <c r="L17" s="258"/>
      <c r="M17" s="241"/>
    </row>
    <row r="18" spans="1:13" ht="24.9" customHeight="1" x14ac:dyDescent="0.3">
      <c r="A18" s="256"/>
      <c r="B18" s="241"/>
      <c r="C18" s="241"/>
      <c r="D18" s="245"/>
      <c r="E18" s="245"/>
      <c r="F18" s="241"/>
      <c r="G18" s="293"/>
      <c r="H18" s="293"/>
      <c r="I18" s="293"/>
      <c r="J18" s="293"/>
      <c r="K18" s="258"/>
      <c r="L18" s="258"/>
      <c r="M18" s="241"/>
    </row>
    <row r="19" spans="1:13" ht="24.9" customHeight="1" x14ac:dyDescent="0.3">
      <c r="A19" s="256"/>
      <c r="B19" s="241"/>
      <c r="C19" s="241"/>
      <c r="D19" s="245"/>
      <c r="E19" s="245"/>
      <c r="F19" s="241"/>
      <c r="G19" s="293"/>
      <c r="H19" s="293"/>
      <c r="I19" s="293"/>
      <c r="J19" s="293"/>
      <c r="K19" s="258"/>
      <c r="L19" s="258"/>
      <c r="M19" s="241"/>
    </row>
    <row r="20" spans="1:13" ht="24.9" customHeight="1" x14ac:dyDescent="0.3">
      <c r="A20" s="256"/>
      <c r="B20" s="241"/>
      <c r="C20" s="241"/>
      <c r="D20" s="245"/>
      <c r="E20" s="245"/>
      <c r="F20" s="241"/>
      <c r="G20" s="293"/>
      <c r="H20" s="293"/>
      <c r="I20" s="293"/>
      <c r="J20" s="293"/>
      <c r="K20" s="258"/>
      <c r="L20" s="258"/>
      <c r="M20" s="241"/>
    </row>
    <row r="21" spans="1:13" ht="24.9" customHeight="1" x14ac:dyDescent="0.3">
      <c r="A21" s="256"/>
      <c r="B21" s="241"/>
      <c r="C21" s="241"/>
      <c r="D21" s="245"/>
      <c r="E21" s="245"/>
      <c r="F21" s="241"/>
      <c r="G21" s="293"/>
      <c r="H21" s="293"/>
      <c r="I21" s="293"/>
      <c r="J21" s="293"/>
      <c r="K21" s="258"/>
      <c r="L21" s="258"/>
      <c r="M21" s="241"/>
    </row>
    <row r="22" spans="1:13" ht="24.9" customHeight="1" x14ac:dyDescent="0.3">
      <c r="A22" s="256"/>
      <c r="B22" s="241"/>
      <c r="C22" s="241"/>
      <c r="D22" s="245"/>
      <c r="E22" s="245"/>
      <c r="F22" s="241"/>
      <c r="G22" s="293"/>
      <c r="H22" s="293"/>
      <c r="I22" s="293"/>
      <c r="J22" s="293"/>
      <c r="K22" s="258"/>
      <c r="L22" s="258"/>
      <c r="M22" s="241"/>
    </row>
    <row r="23" spans="1:13" ht="24.9" customHeight="1" x14ac:dyDescent="0.3">
      <c r="A23" s="256"/>
      <c r="B23" s="241"/>
      <c r="C23" s="241"/>
      <c r="D23" s="245"/>
      <c r="E23" s="245"/>
      <c r="F23" s="241"/>
      <c r="G23" s="293"/>
      <c r="H23" s="293"/>
      <c r="I23" s="293"/>
      <c r="J23" s="293"/>
      <c r="K23" s="258"/>
      <c r="L23" s="258"/>
      <c r="M23" s="241"/>
    </row>
    <row r="24" spans="1:13" ht="24.9" customHeight="1" x14ac:dyDescent="0.3">
      <c r="A24" s="256"/>
      <c r="B24" s="241"/>
      <c r="C24" s="241"/>
      <c r="D24" s="245"/>
      <c r="E24" s="245"/>
      <c r="F24" s="241"/>
      <c r="G24" s="293"/>
      <c r="H24" s="293"/>
      <c r="I24" s="293"/>
      <c r="J24" s="293"/>
      <c r="K24" s="258"/>
      <c r="L24" s="258"/>
      <c r="M24" s="241"/>
    </row>
    <row r="25" spans="1:13" ht="24.9" customHeight="1" x14ac:dyDescent="0.3">
      <c r="A25" s="256"/>
      <c r="B25" s="241"/>
      <c r="C25" s="241"/>
      <c r="D25" s="245"/>
      <c r="E25" s="245"/>
      <c r="F25" s="241"/>
      <c r="G25" s="293"/>
      <c r="H25" s="293"/>
      <c r="I25" s="293"/>
      <c r="J25" s="293"/>
      <c r="K25" s="258"/>
      <c r="L25" s="258"/>
      <c r="M25" s="241"/>
    </row>
    <row r="26" spans="1:13" ht="24.9" customHeight="1" x14ac:dyDescent="0.3">
      <c r="A26" s="256"/>
      <c r="B26" s="241"/>
      <c r="C26" s="241"/>
      <c r="D26" s="245"/>
      <c r="E26" s="245"/>
      <c r="F26" s="241"/>
      <c r="G26" s="293"/>
      <c r="H26" s="293"/>
      <c r="I26" s="293"/>
      <c r="J26" s="293"/>
      <c r="K26" s="258"/>
      <c r="L26" s="258"/>
      <c r="M26" s="241"/>
    </row>
    <row r="27" spans="1:13" ht="24.9" customHeight="1" x14ac:dyDescent="0.3">
      <c r="A27" s="256"/>
      <c r="B27" s="241"/>
      <c r="C27" s="241"/>
      <c r="D27" s="245"/>
      <c r="E27" s="245"/>
      <c r="F27" s="241"/>
      <c r="G27" s="293"/>
      <c r="H27" s="293"/>
      <c r="I27" s="293"/>
      <c r="J27" s="293"/>
      <c r="K27" s="258"/>
      <c r="L27" s="258"/>
      <c r="M27" s="241"/>
    </row>
    <row r="28" spans="1:13" ht="24.9" customHeight="1" x14ac:dyDescent="0.3">
      <c r="A28" s="256"/>
      <c r="B28" s="241"/>
      <c r="C28" s="241"/>
      <c r="D28" s="245"/>
      <c r="E28" s="245"/>
      <c r="F28" s="241"/>
      <c r="G28" s="293"/>
      <c r="H28" s="293"/>
      <c r="I28" s="293"/>
      <c r="J28" s="293"/>
      <c r="K28" s="258"/>
      <c r="L28" s="258"/>
      <c r="M28" s="241"/>
    </row>
    <row r="29" spans="1:13" ht="24.9" customHeight="1" x14ac:dyDescent="0.3">
      <c r="A29" s="256"/>
      <c r="B29" s="241"/>
      <c r="C29" s="241"/>
      <c r="D29" s="245"/>
      <c r="E29" s="245"/>
      <c r="F29" s="241"/>
      <c r="G29" s="293"/>
      <c r="H29" s="293"/>
      <c r="I29" s="293"/>
      <c r="J29" s="293"/>
      <c r="K29" s="258"/>
      <c r="L29" s="258"/>
      <c r="M29" s="241"/>
    </row>
    <row r="30" spans="1:13" ht="24.9" customHeight="1" x14ac:dyDescent="0.3">
      <c r="A30" s="256"/>
      <c r="B30" s="241"/>
      <c r="C30" s="241"/>
      <c r="D30" s="245"/>
      <c r="E30" s="245"/>
      <c r="F30" s="241"/>
      <c r="G30" s="293"/>
      <c r="H30" s="293"/>
      <c r="I30" s="293"/>
      <c r="J30" s="293"/>
      <c r="K30" s="258"/>
      <c r="L30" s="258"/>
      <c r="M30" s="241"/>
    </row>
    <row r="31" spans="1:13" ht="24.9" customHeight="1" x14ac:dyDescent="0.3">
      <c r="A31" s="256"/>
      <c r="B31" s="241"/>
      <c r="C31" s="241"/>
      <c r="D31" s="245"/>
      <c r="E31" s="245"/>
      <c r="F31" s="241"/>
      <c r="G31" s="293"/>
      <c r="H31" s="293"/>
      <c r="I31" s="293"/>
      <c r="J31" s="293"/>
      <c r="K31" s="258"/>
      <c r="L31" s="258"/>
      <c r="M31" s="241"/>
    </row>
    <row r="32" spans="1:13" ht="24.9" customHeight="1" x14ac:dyDescent="0.3">
      <c r="A32" s="256"/>
      <c r="B32" s="241"/>
      <c r="C32" s="241"/>
      <c r="D32" s="245"/>
      <c r="E32" s="245"/>
      <c r="F32" s="241"/>
      <c r="G32" s="293"/>
      <c r="H32" s="293"/>
      <c r="I32" s="293"/>
      <c r="J32" s="293"/>
      <c r="K32" s="258"/>
      <c r="L32" s="258"/>
      <c r="M32" s="241"/>
    </row>
    <row r="33" spans="1:13" ht="24.9" customHeight="1" x14ac:dyDescent="0.3">
      <c r="A33" s="256"/>
      <c r="B33" s="241"/>
      <c r="C33" s="241"/>
      <c r="D33" s="245"/>
      <c r="E33" s="245"/>
      <c r="F33" s="241"/>
      <c r="G33" s="293"/>
      <c r="H33" s="293"/>
      <c r="I33" s="293"/>
      <c r="J33" s="293"/>
      <c r="K33" s="258"/>
      <c r="L33" s="258"/>
      <c r="M33" s="241"/>
    </row>
    <row r="34" spans="1:13" ht="24.9" customHeight="1" x14ac:dyDescent="0.3">
      <c r="A34" s="256"/>
      <c r="B34" s="241"/>
      <c r="C34" s="241"/>
      <c r="D34" s="245"/>
      <c r="E34" s="245"/>
      <c r="F34" s="241"/>
      <c r="G34" s="293"/>
      <c r="H34" s="293"/>
      <c r="I34" s="293"/>
      <c r="J34" s="293"/>
      <c r="K34" s="258"/>
      <c r="L34" s="258"/>
      <c r="M34" s="241"/>
    </row>
    <row r="35" spans="1:13" ht="24.9" customHeight="1" x14ac:dyDescent="0.3">
      <c r="A35" s="256"/>
      <c r="B35" s="241"/>
      <c r="C35" s="241"/>
      <c r="D35" s="245"/>
      <c r="E35" s="245"/>
      <c r="F35" s="241"/>
      <c r="G35" s="293"/>
      <c r="H35" s="293"/>
      <c r="I35" s="293"/>
      <c r="J35" s="293"/>
      <c r="K35" s="258"/>
      <c r="L35" s="258"/>
      <c r="M35" s="241"/>
    </row>
    <row r="36" spans="1:13" ht="24.9" customHeight="1" x14ac:dyDescent="0.3">
      <c r="A36" s="256"/>
      <c r="B36" s="241"/>
      <c r="C36" s="241"/>
      <c r="D36" s="245"/>
      <c r="E36" s="245"/>
      <c r="F36" s="241"/>
      <c r="G36" s="293"/>
      <c r="H36" s="293"/>
      <c r="I36" s="293"/>
      <c r="J36" s="293"/>
      <c r="K36" s="258"/>
      <c r="L36" s="258"/>
      <c r="M36" s="241"/>
    </row>
    <row r="37" spans="1:13" ht="24.9" customHeight="1" x14ac:dyDescent="0.3">
      <c r="A37" s="256"/>
      <c r="B37" s="241"/>
      <c r="C37" s="241"/>
      <c r="D37" s="245"/>
      <c r="E37" s="245"/>
      <c r="F37" s="241"/>
      <c r="G37" s="293"/>
      <c r="H37" s="293"/>
      <c r="I37" s="293"/>
      <c r="J37" s="293"/>
      <c r="K37" s="258"/>
      <c r="L37" s="258"/>
      <c r="M37" s="241"/>
    </row>
    <row r="38" spans="1:13" ht="24.9" customHeight="1" x14ac:dyDescent="0.3">
      <c r="A38" s="256"/>
      <c r="B38" s="241"/>
      <c r="C38" s="241"/>
      <c r="D38" s="245"/>
      <c r="E38" s="245"/>
      <c r="F38" s="241"/>
      <c r="G38" s="293"/>
      <c r="H38" s="293"/>
      <c r="I38" s="293"/>
      <c r="J38" s="293"/>
      <c r="K38" s="258"/>
      <c r="L38" s="258"/>
      <c r="M38" s="241"/>
    </row>
    <row r="39" spans="1:13" ht="24.9" customHeight="1" x14ac:dyDescent="0.3">
      <c r="A39" s="256"/>
      <c r="B39" s="241"/>
      <c r="C39" s="241"/>
      <c r="D39" s="245"/>
      <c r="E39" s="245"/>
      <c r="F39" s="241"/>
      <c r="G39" s="293"/>
      <c r="H39" s="293"/>
      <c r="I39" s="293"/>
      <c r="J39" s="293"/>
      <c r="K39" s="258"/>
      <c r="L39" s="258"/>
      <c r="M39" s="241"/>
    </row>
    <row r="40" spans="1:13" ht="24.9" customHeight="1" x14ac:dyDescent="0.3">
      <c r="A40" s="256"/>
      <c r="B40" s="241"/>
      <c r="C40" s="241"/>
      <c r="D40" s="245"/>
      <c r="E40" s="245"/>
      <c r="F40" s="241"/>
      <c r="G40" s="293"/>
      <c r="H40" s="293"/>
      <c r="I40" s="293"/>
      <c r="J40" s="293"/>
      <c r="K40" s="258"/>
      <c r="L40" s="258"/>
      <c r="M40" s="241"/>
    </row>
    <row r="41" spans="1:13" ht="24.9" customHeight="1" x14ac:dyDescent="0.3">
      <c r="A41" s="256"/>
      <c r="B41" s="241"/>
      <c r="C41" s="241"/>
      <c r="D41" s="245"/>
      <c r="E41" s="245"/>
      <c r="F41" s="241"/>
      <c r="G41" s="293"/>
      <c r="H41" s="293"/>
      <c r="I41" s="293"/>
      <c r="J41" s="293"/>
      <c r="K41" s="258"/>
      <c r="L41" s="258"/>
      <c r="M41" s="241"/>
    </row>
    <row r="42" spans="1:13" ht="20.100000000000001" customHeight="1" x14ac:dyDescent="0.3">
      <c r="A42" s="2"/>
      <c r="F42" s="2"/>
    </row>
    <row r="43" spans="1:13" ht="20.100000000000001" customHeight="1" x14ac:dyDescent="0.3">
      <c r="A43" s="2"/>
      <c r="F43" s="2"/>
    </row>
    <row r="44" spans="1:13" ht="20.100000000000001" customHeight="1" x14ac:dyDescent="0.3">
      <c r="A44" s="2"/>
      <c r="F44" s="2"/>
    </row>
    <row r="45" spans="1:13" ht="20.100000000000001" customHeight="1" x14ac:dyDescent="0.3">
      <c r="A45" s="2"/>
      <c r="F45" s="2"/>
    </row>
    <row r="46" spans="1:13" ht="20.100000000000001" customHeight="1" x14ac:dyDescent="0.3">
      <c r="A46" s="2"/>
      <c r="F46" s="2"/>
    </row>
    <row r="47" spans="1:13" ht="20.100000000000001" customHeight="1" x14ac:dyDescent="0.3">
      <c r="A47" s="2"/>
      <c r="F47" s="2"/>
    </row>
    <row r="48" spans="1:13" ht="24" customHeight="1" x14ac:dyDescent="0.3">
      <c r="A48" s="2"/>
      <c r="F48" s="2"/>
    </row>
    <row r="49" spans="1:6" ht="24" customHeight="1" x14ac:dyDescent="0.3">
      <c r="A49" s="2"/>
      <c r="F49" s="2"/>
    </row>
    <row r="50" spans="1:6" ht="24" customHeight="1" x14ac:dyDescent="0.3">
      <c r="A50" s="2"/>
      <c r="F50" s="2"/>
    </row>
    <row r="51" spans="1:6" ht="24" customHeight="1" x14ac:dyDescent="0.3">
      <c r="A51" s="2"/>
      <c r="F51" s="2"/>
    </row>
    <row r="52" spans="1:6" ht="24" customHeight="1" x14ac:dyDescent="0.3">
      <c r="A52" s="2"/>
      <c r="F52" s="2"/>
    </row>
    <row r="53" spans="1:6" ht="24" customHeight="1" x14ac:dyDescent="0.3">
      <c r="A53" s="2"/>
      <c r="F53" s="2"/>
    </row>
    <row r="54" spans="1:6" ht="24" customHeight="1" x14ac:dyDescent="0.3">
      <c r="A54" s="2"/>
      <c r="F54" s="2"/>
    </row>
    <row r="55" spans="1:6" ht="24" customHeight="1" x14ac:dyDescent="0.3">
      <c r="A55" s="2"/>
      <c r="F55" s="2"/>
    </row>
    <row r="56" spans="1:6" ht="24" customHeight="1" x14ac:dyDescent="0.3">
      <c r="A56" s="2"/>
      <c r="F56" s="2"/>
    </row>
    <row r="57" spans="1:6" ht="24" customHeight="1" x14ac:dyDescent="0.3">
      <c r="A57" s="2"/>
      <c r="F57" s="2"/>
    </row>
    <row r="58" spans="1:6" ht="24" customHeight="1" x14ac:dyDescent="0.3">
      <c r="A58" s="2"/>
      <c r="F58" s="2"/>
    </row>
    <row r="59" spans="1:6" ht="24" customHeight="1" x14ac:dyDescent="0.3">
      <c r="A59" s="2"/>
      <c r="F59" s="2"/>
    </row>
    <row r="60" spans="1:6" ht="24" customHeight="1" x14ac:dyDescent="0.3">
      <c r="A60" s="2"/>
      <c r="F60" s="2"/>
    </row>
    <row r="61" spans="1:6" ht="24" customHeight="1" x14ac:dyDescent="0.3">
      <c r="A61" s="2"/>
      <c r="F61" s="2"/>
    </row>
    <row r="62" spans="1:6" ht="24" customHeight="1" x14ac:dyDescent="0.3">
      <c r="A62" s="2"/>
      <c r="F62" s="2"/>
    </row>
    <row r="63" spans="1:6" ht="24" customHeight="1" x14ac:dyDescent="0.3">
      <c r="A63" s="2"/>
      <c r="F63" s="2"/>
    </row>
    <row r="64" spans="1:6" ht="24" customHeight="1" x14ac:dyDescent="0.3">
      <c r="A64" s="2"/>
      <c r="F64" s="2"/>
    </row>
    <row r="65" spans="1:6" ht="24" customHeight="1" x14ac:dyDescent="0.3">
      <c r="A65" s="2"/>
      <c r="F65" s="2"/>
    </row>
    <row r="66" spans="1:6" ht="24" customHeight="1" x14ac:dyDescent="0.3">
      <c r="A66" s="2"/>
      <c r="F66" s="2"/>
    </row>
    <row r="67" spans="1:6" ht="24" customHeight="1" x14ac:dyDescent="0.3">
      <c r="A67" s="2"/>
      <c r="F67" s="2"/>
    </row>
    <row r="68" spans="1:6" ht="24" customHeight="1" x14ac:dyDescent="0.3">
      <c r="A68" s="2"/>
      <c r="F68" s="2"/>
    </row>
    <row r="69" spans="1:6" ht="24" customHeight="1" x14ac:dyDescent="0.3">
      <c r="A69" s="2"/>
      <c r="F69" s="2"/>
    </row>
    <row r="70" spans="1:6" ht="24" customHeight="1" x14ac:dyDescent="0.3">
      <c r="A70" s="2"/>
      <c r="F70" s="2"/>
    </row>
    <row r="71" spans="1:6" ht="24" customHeight="1" x14ac:dyDescent="0.3">
      <c r="A71" s="2"/>
      <c r="F71" s="2"/>
    </row>
    <row r="72" spans="1:6" ht="24" customHeight="1" x14ac:dyDescent="0.3">
      <c r="A72" s="2"/>
      <c r="F72" s="2"/>
    </row>
    <row r="73" spans="1:6" ht="24" customHeight="1" x14ac:dyDescent="0.3">
      <c r="A73" s="2"/>
      <c r="F73" s="2"/>
    </row>
    <row r="74" spans="1:6" ht="24" customHeight="1" x14ac:dyDescent="0.3">
      <c r="A74" s="2"/>
      <c r="F74" s="2"/>
    </row>
    <row r="75" spans="1:6" ht="24" customHeight="1" x14ac:dyDescent="0.3">
      <c r="A75" s="2"/>
      <c r="F75" s="2"/>
    </row>
    <row r="76" spans="1:6" ht="24" customHeight="1" x14ac:dyDescent="0.3">
      <c r="A76" s="2"/>
      <c r="F76" s="2"/>
    </row>
    <row r="77" spans="1:6" ht="24" customHeight="1" x14ac:dyDescent="0.3">
      <c r="A77" s="2"/>
      <c r="F77" s="2"/>
    </row>
    <row r="78" spans="1:6" ht="24" customHeight="1" x14ac:dyDescent="0.3">
      <c r="A78" s="2"/>
      <c r="F78" s="2"/>
    </row>
    <row r="79" spans="1:6" ht="24" customHeight="1" x14ac:dyDescent="0.3">
      <c r="A79" s="2"/>
      <c r="F79" s="2"/>
    </row>
    <row r="80" spans="1:6" ht="24" customHeight="1" x14ac:dyDescent="0.3">
      <c r="A80" s="2"/>
      <c r="F80" s="2"/>
    </row>
    <row r="81" spans="1:6" ht="24" customHeight="1" x14ac:dyDescent="0.3">
      <c r="A81" s="2"/>
      <c r="F81" s="2"/>
    </row>
    <row r="82" spans="1:6" ht="24" customHeight="1" x14ac:dyDescent="0.3">
      <c r="A82" s="2"/>
      <c r="F82" s="2"/>
    </row>
    <row r="83" spans="1:6" ht="24" customHeight="1" x14ac:dyDescent="0.3">
      <c r="A83" s="2"/>
      <c r="F83" s="2"/>
    </row>
    <row r="84" spans="1:6" ht="24" customHeight="1" x14ac:dyDescent="0.3">
      <c r="A84" s="2"/>
      <c r="F84" s="2"/>
    </row>
    <row r="85" spans="1:6" ht="24" customHeight="1" x14ac:dyDescent="0.3">
      <c r="A85" s="2"/>
      <c r="F85" s="2"/>
    </row>
    <row r="86" spans="1:6" ht="24" customHeight="1" x14ac:dyDescent="0.3">
      <c r="A86" s="2"/>
      <c r="F86" s="2"/>
    </row>
    <row r="87" spans="1:6" ht="24" customHeight="1" x14ac:dyDescent="0.3">
      <c r="A87" s="2"/>
      <c r="F87" s="2"/>
    </row>
    <row r="88" spans="1:6" ht="24" customHeight="1" x14ac:dyDescent="0.3">
      <c r="A88" s="2"/>
      <c r="F88" s="2"/>
    </row>
    <row r="89" spans="1:6" ht="24" customHeight="1" x14ac:dyDescent="0.3">
      <c r="A89" s="2"/>
      <c r="F89" s="2"/>
    </row>
    <row r="90" spans="1:6" ht="24" customHeight="1" x14ac:dyDescent="0.3">
      <c r="A90" s="2"/>
      <c r="F90" s="2"/>
    </row>
    <row r="91" spans="1:6" ht="24" customHeight="1" x14ac:dyDescent="0.3">
      <c r="A91" s="2"/>
      <c r="F91" s="2"/>
    </row>
    <row r="92" spans="1:6" ht="24" customHeight="1" x14ac:dyDescent="0.3">
      <c r="A92" s="2"/>
      <c r="F92" s="2"/>
    </row>
    <row r="93" spans="1:6" ht="24" customHeight="1" x14ac:dyDescent="0.3">
      <c r="A93" s="2"/>
      <c r="F93" s="2"/>
    </row>
    <row r="94" spans="1:6" ht="24" customHeight="1" x14ac:dyDescent="0.3">
      <c r="A94" s="2"/>
      <c r="F94" s="2"/>
    </row>
    <row r="95" spans="1:6" ht="24" customHeight="1" x14ac:dyDescent="0.3">
      <c r="A95" s="2"/>
      <c r="F95" s="2"/>
    </row>
    <row r="96" spans="1:6" ht="24" customHeight="1" x14ac:dyDescent="0.3">
      <c r="A96" s="2"/>
      <c r="F96" s="2"/>
    </row>
    <row r="97" spans="1:13" ht="24" customHeight="1" x14ac:dyDescent="0.3">
      <c r="A97" s="2"/>
      <c r="F97" s="2"/>
    </row>
    <row r="98" spans="1:13" ht="24" customHeight="1" x14ac:dyDescent="0.3">
      <c r="A98" s="2"/>
      <c r="F98" s="2"/>
    </row>
    <row r="99" spans="1:13" ht="24" customHeight="1" x14ac:dyDescent="0.3">
      <c r="A99" s="2"/>
      <c r="F99" s="2"/>
    </row>
    <row r="100" spans="1:13" ht="24" customHeight="1" x14ac:dyDescent="0.3">
      <c r="A100" s="2"/>
      <c r="F100" s="2"/>
    </row>
    <row r="101" spans="1:13" ht="24" customHeight="1" x14ac:dyDescent="0.3">
      <c r="A101" s="2"/>
      <c r="F101" s="2"/>
    </row>
    <row r="102" spans="1:13" ht="24" customHeight="1" x14ac:dyDescent="0.3">
      <c r="A102" s="60"/>
      <c r="B102" s="242"/>
      <c r="C102" s="242"/>
      <c r="G102" s="242"/>
      <c r="H102" s="242"/>
      <c r="I102" s="242"/>
      <c r="J102" s="242"/>
      <c r="K102" s="242"/>
      <c r="L102" s="242"/>
      <c r="M102" s="242"/>
    </row>
    <row r="103" spans="1:13" ht="24" customHeight="1" x14ac:dyDescent="0.3">
      <c r="A103" s="60"/>
      <c r="B103" s="242"/>
      <c r="C103" s="242"/>
      <c r="G103" s="242"/>
      <c r="H103" s="242"/>
      <c r="I103" s="242"/>
      <c r="J103" s="242"/>
      <c r="K103" s="242"/>
      <c r="L103" s="242"/>
      <c r="M103" s="242"/>
    </row>
    <row r="104" spans="1:13" ht="24" customHeight="1" x14ac:dyDescent="0.3"/>
    <row r="105" spans="1:13" ht="24" customHeight="1" x14ac:dyDescent="0.3"/>
    <row r="106" spans="1:13" ht="24" customHeight="1" x14ac:dyDescent="0.3"/>
    <row r="107" spans="1:13" ht="24" customHeight="1" x14ac:dyDescent="0.3"/>
    <row r="108" spans="1:13" ht="24" customHeight="1" x14ac:dyDescent="0.3"/>
    <row r="109" spans="1:13" ht="24" customHeight="1" x14ac:dyDescent="0.3"/>
    <row r="110" spans="1:13" ht="24" customHeight="1" x14ac:dyDescent="0.3"/>
    <row r="111" spans="1:13" ht="24" customHeight="1" x14ac:dyDescent="0.3"/>
    <row r="112" spans="1:13" ht="24" customHeight="1" x14ac:dyDescent="0.3"/>
  </sheetData>
  <conditionalFormatting sqref="L6:L41">
    <cfRule type="cellIs" dxfId="13" priority="1" operator="equal">
      <formula>0</formula>
    </cfRule>
  </conditionalFormatting>
  <printOptions horizontalCentered="1"/>
  <pageMargins left="0.27559055118110237" right="0.27559055118110237" top="0.35433070866141736" bottom="0.31496062992125984" header="0.31496062992125984" footer="0.23622047244094491"/>
  <pageSetup paperSize="9" orientation="landscape" r:id="rId1"/>
  <headerFooter>
    <oddFooter>&amp;C&amp;"-,Dőlt"&amp;P. oldal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6">
    <tabColor rgb="FFFFFF00"/>
  </sheetPr>
  <dimension ref="A1:AY218"/>
  <sheetViews>
    <sheetView showGridLines="0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defaultColWidth="9.109375" defaultRowHeight="14.4" x14ac:dyDescent="0.3"/>
  <cols>
    <col min="1" max="1" width="4.88671875" style="3" customWidth="1"/>
    <col min="2" max="2" width="27.109375" style="2" customWidth="1"/>
    <col min="3" max="3" width="24.33203125" style="2" customWidth="1"/>
    <col min="4" max="4" width="16.6640625" style="1" customWidth="1"/>
    <col min="5" max="5" width="9.88671875" style="1" customWidth="1"/>
    <col min="6" max="6" width="0.88671875" style="2" customWidth="1"/>
    <col min="7" max="7" width="7.5546875" style="3" bestFit="1" customWidth="1"/>
    <col min="8" max="8" width="8.33203125" style="1" bestFit="1" customWidth="1"/>
    <col min="9" max="9" width="9.109375" style="2"/>
    <col min="10" max="10" width="5.6640625" style="2" customWidth="1"/>
    <col min="11" max="11" width="0.88671875" style="2" customWidth="1"/>
    <col min="12" max="18" width="5.6640625" style="54" customWidth="1"/>
    <col min="19" max="19" width="0.88671875" style="2" customWidth="1"/>
    <col min="20" max="25" width="7.6640625" style="2" customWidth="1"/>
    <col min="26" max="26" width="7.6640625" style="56" customWidth="1"/>
    <col min="27" max="27" width="0.88671875" style="2" customWidth="1"/>
    <col min="28" max="28" width="2.6640625" style="3" customWidth="1"/>
    <col min="29" max="29" width="2.6640625" style="1" customWidth="1"/>
    <col min="30" max="30" width="2.6640625" style="3" customWidth="1"/>
    <col min="31" max="31" width="2.6640625" style="1" customWidth="1"/>
    <col min="32" max="32" width="2.6640625" style="3" customWidth="1"/>
    <col min="33" max="33" width="2.6640625" style="1" customWidth="1"/>
    <col min="34" max="34" width="2.6640625" style="3" customWidth="1"/>
    <col min="35" max="37" width="2.6640625" style="1" customWidth="1"/>
    <col min="38" max="38" width="2.6640625" style="3" customWidth="1"/>
    <col min="39" max="39" width="2.6640625" style="1" customWidth="1"/>
    <col min="40" max="40" width="0.88671875" style="2" customWidth="1"/>
    <col min="41" max="44" width="9.109375" style="54"/>
    <col min="45" max="45" width="0.88671875" style="2" customWidth="1"/>
    <col min="46" max="50" width="9.109375" style="54"/>
    <col min="51" max="16384" width="9.109375" style="2"/>
  </cols>
  <sheetData>
    <row r="1" spans="1:51" s="135" customFormat="1" x14ac:dyDescent="0.3">
      <c r="A1" s="134" t="s">
        <v>411</v>
      </c>
      <c r="C1" s="150" t="s">
        <v>114</v>
      </c>
      <c r="D1" s="148">
        <f>COUNTIFS(D6:D199,"method feeder")</f>
        <v>66</v>
      </c>
      <c r="E1" s="147">
        <f>COUNTIFS(E6:E199,"felnőtt")</f>
        <v>138</v>
      </c>
      <c r="F1" s="146"/>
      <c r="G1" s="149" t="s">
        <v>103</v>
      </c>
      <c r="H1" s="136"/>
      <c r="I1" s="326">
        <f>SUMPRODUCT((NOT(ISBLANK(C6:C199))*(1/COUNTIF(C6:C199,C6:C199&amp;""))))</f>
        <v>88</v>
      </c>
      <c r="J1" s="190" t="s">
        <v>110</v>
      </c>
      <c r="L1" s="138"/>
      <c r="M1" s="138"/>
      <c r="N1" s="138"/>
      <c r="O1" s="276" t="s">
        <v>198</v>
      </c>
      <c r="P1" s="279"/>
      <c r="Q1" s="261"/>
      <c r="R1" s="261"/>
      <c r="S1" s="262"/>
      <c r="T1" s="262"/>
      <c r="U1" s="263"/>
      <c r="V1" s="330" t="s">
        <v>397</v>
      </c>
      <c r="W1" s="329">
        <v>1</v>
      </c>
      <c r="Z1" s="139"/>
      <c r="AB1" s="137"/>
      <c r="AC1" s="136"/>
      <c r="AD1" s="137"/>
      <c r="AE1" s="136"/>
      <c r="AF1" s="137"/>
      <c r="AG1" s="136"/>
      <c r="AH1" s="137"/>
      <c r="AI1" s="136"/>
      <c r="AJ1" s="136"/>
      <c r="AK1" s="136"/>
      <c r="AL1" s="137"/>
      <c r="AM1" s="136"/>
      <c r="AO1" s="138"/>
      <c r="AP1" s="138"/>
      <c r="AQ1" s="138"/>
      <c r="AR1" s="138"/>
      <c r="AT1" s="138"/>
      <c r="AU1" s="138"/>
      <c r="AV1" s="138"/>
      <c r="AW1" s="138"/>
      <c r="AX1" s="138"/>
    </row>
    <row r="2" spans="1:51" s="135" customFormat="1" x14ac:dyDescent="0.3">
      <c r="A2" s="140" t="s">
        <v>412</v>
      </c>
      <c r="C2" s="150" t="s">
        <v>115</v>
      </c>
      <c r="D2" s="148">
        <f>COUNTIFS(D6:D199,"feeder")</f>
        <v>40</v>
      </c>
      <c r="E2" s="147">
        <f>COUNTIFS(E6:E199,"női")</f>
        <v>4</v>
      </c>
      <c r="F2" s="146"/>
      <c r="G2" s="149" t="s">
        <v>108</v>
      </c>
      <c r="H2" s="136"/>
      <c r="I2" s="139">
        <f>COUNTIFS(K6:K199,"1")</f>
        <v>7</v>
      </c>
      <c r="J2" s="190" t="s">
        <v>112</v>
      </c>
      <c r="L2" s="138"/>
      <c r="M2" s="138"/>
      <c r="N2" s="265"/>
      <c r="O2" s="277" t="s">
        <v>199</v>
      </c>
      <c r="P2" s="280"/>
      <c r="Q2" s="266"/>
      <c r="R2" s="266"/>
      <c r="S2" s="267"/>
      <c r="T2" s="268"/>
      <c r="U2" s="269"/>
      <c r="V2" s="330" t="s">
        <v>398</v>
      </c>
      <c r="W2" s="329">
        <v>10</v>
      </c>
      <c r="Z2" s="139"/>
      <c r="AB2" s="137"/>
      <c r="AC2" s="136"/>
      <c r="AD2" s="137"/>
      <c r="AE2" s="136"/>
      <c r="AF2" s="137"/>
      <c r="AG2" s="136"/>
      <c r="AH2" s="137"/>
      <c r="AI2" s="136"/>
      <c r="AJ2" s="136"/>
      <c r="AK2" s="136"/>
      <c r="AL2" s="137"/>
      <c r="AM2" s="136"/>
      <c r="AO2" s="138"/>
      <c r="AP2" s="138"/>
      <c r="AQ2" s="138"/>
      <c r="AR2" s="138"/>
      <c r="AT2" s="138"/>
      <c r="AU2" s="138"/>
      <c r="AV2" s="138"/>
      <c r="AW2" s="138"/>
      <c r="AX2" s="138"/>
    </row>
    <row r="3" spans="1:51" s="135" customFormat="1" ht="15" customHeight="1" x14ac:dyDescent="0.3">
      <c r="A3" s="140" t="s">
        <v>413</v>
      </c>
      <c r="C3" s="150" t="s">
        <v>107</v>
      </c>
      <c r="D3" s="148">
        <f>COUNTIFS(D6:D199,"úszós")</f>
        <v>44</v>
      </c>
      <c r="E3" s="147">
        <f>COUNTIFS(E6:E199,"ifjúsági")</f>
        <v>8</v>
      </c>
      <c r="F3" s="146"/>
      <c r="G3" s="149" t="s">
        <v>11</v>
      </c>
      <c r="H3" s="136"/>
      <c r="I3" s="327"/>
      <c r="L3" s="138"/>
      <c r="M3" s="138"/>
      <c r="N3" s="265"/>
      <c r="O3" s="277" t="s">
        <v>200</v>
      </c>
      <c r="P3" s="281"/>
      <c r="Q3" s="266"/>
      <c r="R3" s="266"/>
      <c r="S3" s="267"/>
      <c r="T3" s="268"/>
      <c r="U3" s="342"/>
      <c r="V3" s="343" t="s">
        <v>415</v>
      </c>
      <c r="W3" s="344">
        <f>COUNTIF(F6:F199,"&gt;0")</f>
        <v>64</v>
      </c>
      <c r="X3" s="264"/>
      <c r="Z3" s="139"/>
      <c r="AB3" s="137"/>
      <c r="AC3" s="136"/>
      <c r="AD3" s="137"/>
      <c r="AE3" s="136"/>
      <c r="AF3" s="137"/>
      <c r="AG3" s="136"/>
      <c r="AH3" s="137"/>
      <c r="AI3" s="136"/>
      <c r="AJ3" s="136"/>
      <c r="AK3" s="136"/>
      <c r="AL3" s="137"/>
      <c r="AM3" s="136"/>
      <c r="AO3" s="138"/>
      <c r="AP3" s="138"/>
      <c r="AQ3" s="138"/>
      <c r="AR3" s="138"/>
      <c r="AT3" s="275"/>
      <c r="AU3" s="275"/>
      <c r="AV3" s="275"/>
      <c r="AW3" s="275" t="s">
        <v>124</v>
      </c>
      <c r="AX3" s="302">
        <v>2000</v>
      </c>
    </row>
    <row r="4" spans="1:51" s="135" customFormat="1" ht="15" customHeight="1" x14ac:dyDescent="0.3">
      <c r="A4" s="137"/>
      <c r="C4" s="150" t="s">
        <v>106</v>
      </c>
      <c r="D4" s="148">
        <f>COUNTIFS(D6:D199,"gy")</f>
        <v>9</v>
      </c>
      <c r="E4" s="147">
        <f>COUNTIFS(E6:E199,"gyermek")</f>
        <v>9</v>
      </c>
      <c r="F4" s="146"/>
      <c r="G4" s="149" t="s">
        <v>10</v>
      </c>
      <c r="H4" s="136"/>
      <c r="I4" s="139"/>
      <c r="J4" s="328"/>
      <c r="L4" s="138"/>
      <c r="M4" s="138"/>
      <c r="N4" s="265"/>
      <c r="O4" s="278" t="s">
        <v>201</v>
      </c>
      <c r="P4" s="282"/>
      <c r="Q4" s="266"/>
      <c r="R4" s="270"/>
      <c r="S4" s="267"/>
      <c r="T4" s="271"/>
      <c r="U4" s="269"/>
      <c r="V4" s="331" t="s">
        <v>414</v>
      </c>
      <c r="W4" s="332">
        <f>SUM(W1:W3)</f>
        <v>75</v>
      </c>
      <c r="Z4" s="139"/>
      <c r="AB4" s="137"/>
      <c r="AC4" s="136"/>
      <c r="AD4" s="137"/>
      <c r="AE4" s="136"/>
      <c r="AF4" s="137"/>
      <c r="AG4" s="136"/>
      <c r="AH4" s="137"/>
      <c r="AI4" s="136"/>
      <c r="AJ4" s="136"/>
      <c r="AK4" s="136"/>
      <c r="AL4" s="137"/>
      <c r="AM4" s="136"/>
      <c r="AO4" s="138"/>
      <c r="AP4" s="138"/>
      <c r="AQ4" s="138"/>
      <c r="AR4" s="138"/>
      <c r="AT4" s="300">
        <f>COUNTIF(AT6:AT199,"&gt;0")</f>
        <v>16</v>
      </c>
      <c r="AU4" s="137"/>
      <c r="AV4" s="301">
        <f>COUNTIF(AV6:AV199,"&gt;0")+3</f>
        <v>3</v>
      </c>
      <c r="AW4" s="137"/>
      <c r="AX4" s="301">
        <f>(SUM(AX7:AX199)/2000)</f>
        <v>3</v>
      </c>
      <c r="AY4" s="301"/>
    </row>
    <row r="5" spans="1:51" s="151" customFormat="1" ht="33" customHeight="1" x14ac:dyDescent="0.3">
      <c r="A5" s="153" t="s">
        <v>0</v>
      </c>
      <c r="B5" s="154" t="s">
        <v>1</v>
      </c>
      <c r="C5" s="154" t="s">
        <v>2</v>
      </c>
      <c r="D5" s="155" t="s">
        <v>4</v>
      </c>
      <c r="E5" s="155" t="s">
        <v>3</v>
      </c>
      <c r="F5" s="156" t="s">
        <v>45</v>
      </c>
      <c r="G5" s="157" t="s">
        <v>6</v>
      </c>
      <c r="H5" s="158" t="s">
        <v>7</v>
      </c>
      <c r="I5" s="153" t="s">
        <v>18</v>
      </c>
      <c r="J5" s="159" t="s">
        <v>12</v>
      </c>
      <c r="K5" s="152" t="s">
        <v>45</v>
      </c>
      <c r="L5" s="160" t="s">
        <v>46</v>
      </c>
      <c r="M5" s="161" t="s">
        <v>47</v>
      </c>
      <c r="N5" s="161" t="s">
        <v>48</v>
      </c>
      <c r="O5" s="161" t="s">
        <v>49</v>
      </c>
      <c r="P5" s="161" t="s">
        <v>50</v>
      </c>
      <c r="Q5" s="161" t="s">
        <v>125</v>
      </c>
      <c r="R5" s="162" t="s">
        <v>44</v>
      </c>
      <c r="S5" s="152" t="s">
        <v>45</v>
      </c>
      <c r="T5" s="161" t="s">
        <v>52</v>
      </c>
      <c r="U5" s="161" t="s">
        <v>53</v>
      </c>
      <c r="V5" s="161" t="s">
        <v>54</v>
      </c>
      <c r="W5" s="161" t="s">
        <v>55</v>
      </c>
      <c r="X5" s="161" t="s">
        <v>56</v>
      </c>
      <c r="Y5" s="161" t="s">
        <v>126</v>
      </c>
      <c r="Z5" s="162" t="s">
        <v>57</v>
      </c>
      <c r="AA5" s="152" t="s">
        <v>45</v>
      </c>
      <c r="AB5" s="345" t="s">
        <v>58</v>
      </c>
      <c r="AC5" s="346"/>
      <c r="AD5" s="345" t="s">
        <v>59</v>
      </c>
      <c r="AE5" s="346"/>
      <c r="AF5" s="345" t="s">
        <v>60</v>
      </c>
      <c r="AG5" s="346"/>
      <c r="AH5" s="345" t="s">
        <v>61</v>
      </c>
      <c r="AI5" s="346"/>
      <c r="AJ5" s="345" t="s">
        <v>62</v>
      </c>
      <c r="AK5" s="346"/>
      <c r="AL5" s="345" t="s">
        <v>127</v>
      </c>
      <c r="AM5" s="346"/>
      <c r="AN5" s="152" t="s">
        <v>45</v>
      </c>
      <c r="AO5" s="163" t="s">
        <v>80</v>
      </c>
      <c r="AP5" s="163" t="s">
        <v>81</v>
      </c>
      <c r="AQ5" s="163" t="s">
        <v>82</v>
      </c>
      <c r="AR5" s="163" t="s">
        <v>83</v>
      </c>
      <c r="AS5" s="151" t="s">
        <v>45</v>
      </c>
      <c r="AT5" s="260" t="s">
        <v>204</v>
      </c>
      <c r="AU5" s="260" t="s">
        <v>205</v>
      </c>
      <c r="AV5" s="292" t="s">
        <v>206</v>
      </c>
      <c r="AW5" s="260" t="s">
        <v>207</v>
      </c>
      <c r="AX5" s="260" t="s">
        <v>123</v>
      </c>
      <c r="AY5" s="312" t="s">
        <v>102</v>
      </c>
    </row>
    <row r="6" spans="1:51" ht="15" customHeight="1" x14ac:dyDescent="0.3">
      <c r="A6" s="68">
        <v>155</v>
      </c>
      <c r="B6" s="141" t="s">
        <v>425</v>
      </c>
      <c r="C6" s="141" t="s">
        <v>426</v>
      </c>
      <c r="D6" s="143" t="s">
        <v>113</v>
      </c>
      <c r="E6" s="142" t="s">
        <v>103</v>
      </c>
      <c r="F6" s="144">
        <v>3</v>
      </c>
      <c r="G6" s="66" t="s">
        <v>354</v>
      </c>
      <c r="H6" s="53">
        <v>7</v>
      </c>
      <c r="I6" s="52">
        <v>28500</v>
      </c>
      <c r="J6" s="182">
        <v>1</v>
      </c>
      <c r="K6" s="135"/>
      <c r="L6" s="127">
        <v>20</v>
      </c>
      <c r="M6" s="127">
        <v>20</v>
      </c>
      <c r="N6" s="127">
        <f t="shared" ref="N6:N37" si="0">IF($G6="",20,$J6)</f>
        <v>1</v>
      </c>
      <c r="O6" s="127"/>
      <c r="P6" s="127"/>
      <c r="Q6" s="127"/>
      <c r="R6" s="128">
        <f t="shared" ref="R6:R37" si="1">SUM(L6:Q6)</f>
        <v>41</v>
      </c>
      <c r="T6" s="285">
        <v>0</v>
      </c>
      <c r="U6" s="285">
        <v>0</v>
      </c>
      <c r="V6" s="285">
        <f t="shared" ref="V6:V37" si="2">IF($G6="",0,$I6)</f>
        <v>28500</v>
      </c>
      <c r="W6" s="287"/>
      <c r="X6" s="287"/>
      <c r="Y6" s="285"/>
      <c r="Z6" s="286">
        <f t="shared" ref="Z6:Z37" si="3">SUM(T6:Y6)</f>
        <v>28500</v>
      </c>
      <c r="AB6" s="62" t="s">
        <v>185</v>
      </c>
      <c r="AC6" s="130" t="s">
        <v>185</v>
      </c>
      <c r="AD6" s="62" t="s">
        <v>185</v>
      </c>
      <c r="AE6" s="130" t="s">
        <v>185</v>
      </c>
      <c r="AF6" s="62" t="str">
        <f t="shared" ref="AF6:AF37" si="4">IF($G6="","-",$G6)</f>
        <v>A</v>
      </c>
      <c r="AG6" s="130">
        <f t="shared" ref="AG6:AG37" si="5">IF($G6="","-",$H6)</f>
        <v>7</v>
      </c>
      <c r="AH6" s="62"/>
      <c r="AI6" s="63"/>
      <c r="AJ6" s="130"/>
      <c r="AK6" s="130"/>
      <c r="AL6" s="62"/>
      <c r="AM6" s="63"/>
      <c r="AO6" s="73">
        <f t="shared" ref="AO6:AO37" si="6">COUNTIFS(L6:Q6,"&lt;20")</f>
        <v>1</v>
      </c>
      <c r="AP6" s="73">
        <f t="shared" ref="AP6:AP37" si="7">SUMIF(L6:Q6,"&lt;20")</f>
        <v>1</v>
      </c>
      <c r="AQ6" s="73">
        <f t="shared" ref="AQ6:AQ37" si="8">MAX(L6:Q6)</f>
        <v>20</v>
      </c>
      <c r="AR6" s="73" t="str">
        <f t="shared" ref="AR6:AR37" si="9">IF(AO6&gt;4,L6+M6+N6+O6+P6+Q6-AQ6,IF(AO6&lt;5,"Kevés v."))</f>
        <v>Kevés v.</v>
      </c>
      <c r="AT6" s="273" t="str">
        <f t="shared" ref="AT6:AT37" si="10">IF(F6=2,IF(E6="felnőtt",8300,IF(E6="ifjúsági",6600,IF(E6="női",6600,IF(E6="gyermek",1000,"")))),"")</f>
        <v/>
      </c>
      <c r="AU6" s="273">
        <f t="shared" ref="AU6:AU20" si="11">IF(F6=3,IF(E6="felnőtt",6300,IF(E6="ifjúsági",4600,IF(E6="női",4600,IF(E6="gyermek",0,"")))),"")</f>
        <v>6300</v>
      </c>
      <c r="AV6" s="273" t="str">
        <f t="shared" ref="AV6:AV17" si="12">IF(F6=6,IF(E6="felnőtt",41500,IF(E6="ifjúsági",33000,IF(E6="női",33000,IF(E6="gyermek",5000,"")))),"")</f>
        <v/>
      </c>
      <c r="AW6" s="273" t="str">
        <f t="shared" ref="AW6:AW29" si="13">IF(F6=7,IF(E6="felnőtt",31500,IF(E6="ifjúsági",23000,IF(E6="női",23000,IF(E6="gyermek",0,"")))),"")</f>
        <v/>
      </c>
      <c r="AX6" s="274"/>
      <c r="AY6" s="313">
        <f t="shared" ref="AY6:AY37" si="14">SUM(AT6:AX6)</f>
        <v>6300</v>
      </c>
    </row>
    <row r="7" spans="1:51" ht="15" customHeight="1" x14ac:dyDescent="0.3">
      <c r="A7" s="68">
        <v>150</v>
      </c>
      <c r="B7" s="141" t="s">
        <v>419</v>
      </c>
      <c r="C7" s="141" t="s">
        <v>105</v>
      </c>
      <c r="D7" s="143" t="s">
        <v>113</v>
      </c>
      <c r="E7" s="142" t="s">
        <v>103</v>
      </c>
      <c r="F7" s="145">
        <v>3</v>
      </c>
      <c r="G7" s="66" t="s">
        <v>353</v>
      </c>
      <c r="H7" s="53">
        <v>8</v>
      </c>
      <c r="I7" s="52">
        <v>28500</v>
      </c>
      <c r="J7" s="182">
        <v>1</v>
      </c>
      <c r="K7" s="135"/>
      <c r="L7" s="127">
        <v>20</v>
      </c>
      <c r="M7" s="127">
        <v>20</v>
      </c>
      <c r="N7" s="127">
        <f t="shared" si="0"/>
        <v>1</v>
      </c>
      <c r="O7" s="127"/>
      <c r="P7" s="127"/>
      <c r="Q7" s="127"/>
      <c r="R7" s="128">
        <f t="shared" si="1"/>
        <v>41</v>
      </c>
      <c r="T7" s="285">
        <v>0</v>
      </c>
      <c r="U7" s="285">
        <v>0</v>
      </c>
      <c r="V7" s="285">
        <f t="shared" si="2"/>
        <v>28500</v>
      </c>
      <c r="W7" s="287"/>
      <c r="X7" s="287"/>
      <c r="Y7" s="285"/>
      <c r="Z7" s="286">
        <f t="shared" si="3"/>
        <v>28500</v>
      </c>
      <c r="AB7" s="62" t="s">
        <v>185</v>
      </c>
      <c r="AC7" s="130" t="s">
        <v>185</v>
      </c>
      <c r="AD7" s="62" t="s">
        <v>185</v>
      </c>
      <c r="AE7" s="130" t="s">
        <v>185</v>
      </c>
      <c r="AF7" s="62" t="str">
        <f t="shared" si="4"/>
        <v>B</v>
      </c>
      <c r="AG7" s="130">
        <f t="shared" si="5"/>
        <v>8</v>
      </c>
      <c r="AH7" s="62"/>
      <c r="AI7" s="63"/>
      <c r="AJ7" s="130"/>
      <c r="AK7" s="130"/>
      <c r="AL7" s="62"/>
      <c r="AM7" s="63"/>
      <c r="AO7" s="73">
        <f t="shared" si="6"/>
        <v>1</v>
      </c>
      <c r="AP7" s="73">
        <f t="shared" si="7"/>
        <v>1</v>
      </c>
      <c r="AQ7" s="73">
        <f t="shared" si="8"/>
        <v>20</v>
      </c>
      <c r="AR7" s="73" t="str">
        <f t="shared" si="9"/>
        <v>Kevés v.</v>
      </c>
      <c r="AT7" s="273" t="str">
        <f t="shared" si="10"/>
        <v/>
      </c>
      <c r="AU7" s="273">
        <f t="shared" si="11"/>
        <v>6300</v>
      </c>
      <c r="AV7" s="273" t="str">
        <f t="shared" si="12"/>
        <v/>
      </c>
      <c r="AW7" s="273" t="str">
        <f t="shared" si="13"/>
        <v/>
      </c>
      <c r="AX7" s="274"/>
      <c r="AY7" s="313">
        <f t="shared" si="14"/>
        <v>6300</v>
      </c>
    </row>
    <row r="8" spans="1:51" ht="15" customHeight="1" x14ac:dyDescent="0.3">
      <c r="A8" s="68">
        <v>151</v>
      </c>
      <c r="B8" s="141" t="s">
        <v>420</v>
      </c>
      <c r="C8" s="141" t="s">
        <v>421</v>
      </c>
      <c r="D8" s="143" t="s">
        <v>113</v>
      </c>
      <c r="E8" s="142" t="s">
        <v>103</v>
      </c>
      <c r="F8" s="145">
        <v>2</v>
      </c>
      <c r="G8" s="66" t="s">
        <v>354</v>
      </c>
      <c r="H8" s="53">
        <v>4</v>
      </c>
      <c r="I8" s="52">
        <v>23575</v>
      </c>
      <c r="J8" s="182">
        <v>2</v>
      </c>
      <c r="K8" s="135"/>
      <c r="L8" s="127">
        <v>20</v>
      </c>
      <c r="M8" s="127">
        <v>20</v>
      </c>
      <c r="N8" s="127">
        <f t="shared" si="0"/>
        <v>2</v>
      </c>
      <c r="O8" s="127"/>
      <c r="P8" s="127"/>
      <c r="Q8" s="127"/>
      <c r="R8" s="128">
        <f t="shared" si="1"/>
        <v>42</v>
      </c>
      <c r="T8" s="285">
        <v>0</v>
      </c>
      <c r="U8" s="285">
        <v>0</v>
      </c>
      <c r="V8" s="285">
        <f t="shared" si="2"/>
        <v>23575</v>
      </c>
      <c r="W8" s="287"/>
      <c r="X8" s="287"/>
      <c r="Y8" s="285"/>
      <c r="Z8" s="286">
        <f t="shared" si="3"/>
        <v>23575</v>
      </c>
      <c r="AB8" s="62" t="s">
        <v>185</v>
      </c>
      <c r="AC8" s="130" t="s">
        <v>185</v>
      </c>
      <c r="AD8" s="62" t="s">
        <v>185</v>
      </c>
      <c r="AE8" s="130" t="s">
        <v>185</v>
      </c>
      <c r="AF8" s="62" t="str">
        <f t="shared" si="4"/>
        <v>A</v>
      </c>
      <c r="AG8" s="130">
        <f t="shared" si="5"/>
        <v>4</v>
      </c>
      <c r="AH8" s="62"/>
      <c r="AI8" s="63"/>
      <c r="AJ8" s="130"/>
      <c r="AK8" s="130"/>
      <c r="AL8" s="62"/>
      <c r="AM8" s="63"/>
      <c r="AO8" s="73">
        <f t="shared" si="6"/>
        <v>1</v>
      </c>
      <c r="AP8" s="73">
        <f t="shared" si="7"/>
        <v>2</v>
      </c>
      <c r="AQ8" s="73">
        <f t="shared" si="8"/>
        <v>20</v>
      </c>
      <c r="AR8" s="73" t="str">
        <f t="shared" si="9"/>
        <v>Kevés v.</v>
      </c>
      <c r="AT8" s="273">
        <f t="shared" si="10"/>
        <v>8300</v>
      </c>
      <c r="AU8" s="273" t="str">
        <f t="shared" si="11"/>
        <v/>
      </c>
      <c r="AV8" s="273" t="str">
        <f t="shared" si="12"/>
        <v/>
      </c>
      <c r="AW8" s="273" t="str">
        <f t="shared" si="13"/>
        <v/>
      </c>
      <c r="AX8" s="274"/>
      <c r="AY8" s="313">
        <f t="shared" si="14"/>
        <v>8300</v>
      </c>
    </row>
    <row r="9" spans="1:51" ht="15" customHeight="1" x14ac:dyDescent="0.3">
      <c r="A9" s="68">
        <v>71</v>
      </c>
      <c r="B9" s="250" t="s">
        <v>271</v>
      </c>
      <c r="C9" s="141" t="s">
        <v>272</v>
      </c>
      <c r="D9" s="143" t="s">
        <v>113</v>
      </c>
      <c r="E9" s="142" t="s">
        <v>103</v>
      </c>
      <c r="F9" s="145">
        <v>2</v>
      </c>
      <c r="G9" s="66" t="s">
        <v>357</v>
      </c>
      <c r="H9" s="53">
        <v>2</v>
      </c>
      <c r="I9" s="52">
        <v>20150</v>
      </c>
      <c r="J9" s="182">
        <v>1</v>
      </c>
      <c r="K9" s="135"/>
      <c r="L9" s="127">
        <v>1</v>
      </c>
      <c r="M9" s="127">
        <v>2</v>
      </c>
      <c r="N9" s="127">
        <f t="shared" si="0"/>
        <v>1</v>
      </c>
      <c r="O9" s="127"/>
      <c r="P9" s="127"/>
      <c r="Q9" s="127"/>
      <c r="R9" s="128">
        <f t="shared" si="1"/>
        <v>4</v>
      </c>
      <c r="T9" s="285">
        <v>17800</v>
      </c>
      <c r="U9" s="285">
        <v>15850</v>
      </c>
      <c r="V9" s="285">
        <f t="shared" si="2"/>
        <v>20150</v>
      </c>
      <c r="W9" s="287"/>
      <c r="X9" s="287"/>
      <c r="Y9" s="285"/>
      <c r="Z9" s="286">
        <f t="shared" si="3"/>
        <v>53800</v>
      </c>
      <c r="AB9" s="62" t="s">
        <v>356</v>
      </c>
      <c r="AC9" s="130">
        <v>3</v>
      </c>
      <c r="AD9" s="62" t="s">
        <v>359</v>
      </c>
      <c r="AE9" s="130">
        <v>7</v>
      </c>
      <c r="AF9" s="62" t="str">
        <f t="shared" si="4"/>
        <v>C</v>
      </c>
      <c r="AG9" s="130">
        <f t="shared" si="5"/>
        <v>2</v>
      </c>
      <c r="AH9" s="62"/>
      <c r="AI9" s="63"/>
      <c r="AJ9" s="130"/>
      <c r="AK9" s="130"/>
      <c r="AL9" s="62"/>
      <c r="AM9" s="63"/>
      <c r="AO9" s="73">
        <f t="shared" si="6"/>
        <v>3</v>
      </c>
      <c r="AP9" s="73">
        <f t="shared" si="7"/>
        <v>4</v>
      </c>
      <c r="AQ9" s="73">
        <f t="shared" si="8"/>
        <v>2</v>
      </c>
      <c r="AR9" s="73" t="str">
        <f t="shared" si="9"/>
        <v>Kevés v.</v>
      </c>
      <c r="AT9" s="273">
        <f t="shared" si="10"/>
        <v>8300</v>
      </c>
      <c r="AU9" s="273" t="str">
        <f t="shared" si="11"/>
        <v/>
      </c>
      <c r="AV9" s="273" t="str">
        <f t="shared" si="12"/>
        <v/>
      </c>
      <c r="AW9" s="273" t="str">
        <f t="shared" si="13"/>
        <v/>
      </c>
      <c r="AX9" s="274"/>
      <c r="AY9" s="313">
        <f t="shared" si="14"/>
        <v>8300</v>
      </c>
    </row>
    <row r="10" spans="1:51" ht="15" customHeight="1" x14ac:dyDescent="0.3">
      <c r="A10" s="68">
        <v>50</v>
      </c>
      <c r="B10" s="141" t="s">
        <v>236</v>
      </c>
      <c r="C10" s="250" t="s">
        <v>237</v>
      </c>
      <c r="D10" s="70" t="s">
        <v>113</v>
      </c>
      <c r="E10" s="142" t="s">
        <v>103</v>
      </c>
      <c r="F10" s="145">
        <v>3</v>
      </c>
      <c r="G10" s="66" t="s">
        <v>353</v>
      </c>
      <c r="H10" s="53">
        <v>5</v>
      </c>
      <c r="I10" s="52">
        <v>18600</v>
      </c>
      <c r="J10" s="182">
        <v>2</v>
      </c>
      <c r="K10" s="135"/>
      <c r="L10" s="127">
        <v>2</v>
      </c>
      <c r="M10" s="127">
        <v>20</v>
      </c>
      <c r="N10" s="127">
        <f t="shared" si="0"/>
        <v>2</v>
      </c>
      <c r="O10" s="127"/>
      <c r="P10" s="127"/>
      <c r="Q10" s="127"/>
      <c r="R10" s="128">
        <f t="shared" si="1"/>
        <v>24</v>
      </c>
      <c r="T10" s="285">
        <v>14725</v>
      </c>
      <c r="U10" s="285">
        <v>0</v>
      </c>
      <c r="V10" s="285">
        <f t="shared" si="2"/>
        <v>18600</v>
      </c>
      <c r="W10" s="287"/>
      <c r="X10" s="287"/>
      <c r="Y10" s="285"/>
      <c r="Z10" s="286">
        <f t="shared" si="3"/>
        <v>33325</v>
      </c>
      <c r="AB10" s="62" t="s">
        <v>359</v>
      </c>
      <c r="AC10" s="130">
        <v>8</v>
      </c>
      <c r="AD10" s="62" t="s">
        <v>185</v>
      </c>
      <c r="AE10" s="130" t="s">
        <v>185</v>
      </c>
      <c r="AF10" s="62" t="str">
        <f t="shared" si="4"/>
        <v>B</v>
      </c>
      <c r="AG10" s="130">
        <f t="shared" si="5"/>
        <v>5</v>
      </c>
      <c r="AH10" s="62"/>
      <c r="AI10" s="63"/>
      <c r="AJ10" s="130"/>
      <c r="AK10" s="130"/>
      <c r="AL10" s="62"/>
      <c r="AM10" s="63"/>
      <c r="AO10" s="73">
        <f t="shared" si="6"/>
        <v>2</v>
      </c>
      <c r="AP10" s="73">
        <f t="shared" si="7"/>
        <v>4</v>
      </c>
      <c r="AQ10" s="73">
        <f t="shared" si="8"/>
        <v>20</v>
      </c>
      <c r="AR10" s="73" t="str">
        <f t="shared" si="9"/>
        <v>Kevés v.</v>
      </c>
      <c r="AT10" s="273" t="str">
        <f t="shared" si="10"/>
        <v/>
      </c>
      <c r="AU10" s="273">
        <f t="shared" si="11"/>
        <v>6300</v>
      </c>
      <c r="AV10" s="273" t="str">
        <f t="shared" si="12"/>
        <v/>
      </c>
      <c r="AW10" s="273" t="str">
        <f t="shared" si="13"/>
        <v/>
      </c>
      <c r="AX10" s="274"/>
      <c r="AY10" s="313">
        <f t="shared" si="14"/>
        <v>6300</v>
      </c>
    </row>
    <row r="11" spans="1:51" ht="15" customHeight="1" x14ac:dyDescent="0.3">
      <c r="A11" s="68">
        <v>156</v>
      </c>
      <c r="B11" s="141" t="s">
        <v>436</v>
      </c>
      <c r="C11" s="141" t="s">
        <v>427</v>
      </c>
      <c r="D11" s="143" t="s">
        <v>113</v>
      </c>
      <c r="E11" s="142" t="s">
        <v>103</v>
      </c>
      <c r="F11" s="145">
        <v>2</v>
      </c>
      <c r="G11" s="66" t="s">
        <v>357</v>
      </c>
      <c r="H11" s="53">
        <v>9</v>
      </c>
      <c r="I11" s="52">
        <v>16200</v>
      </c>
      <c r="J11" s="182">
        <v>2</v>
      </c>
      <c r="K11" s="135"/>
      <c r="L11" s="127">
        <v>20</v>
      </c>
      <c r="M11" s="127">
        <v>20</v>
      </c>
      <c r="N11" s="127">
        <f t="shared" si="0"/>
        <v>2</v>
      </c>
      <c r="O11" s="127"/>
      <c r="P11" s="127"/>
      <c r="Q11" s="127"/>
      <c r="R11" s="128">
        <f t="shared" si="1"/>
        <v>42</v>
      </c>
      <c r="T11" s="285">
        <v>0</v>
      </c>
      <c r="U11" s="285">
        <v>0</v>
      </c>
      <c r="V11" s="285">
        <f t="shared" si="2"/>
        <v>16200</v>
      </c>
      <c r="W11" s="287"/>
      <c r="X11" s="287"/>
      <c r="Y11" s="285"/>
      <c r="Z11" s="286">
        <f t="shared" si="3"/>
        <v>16200</v>
      </c>
      <c r="AB11" s="62" t="s">
        <v>185</v>
      </c>
      <c r="AC11" s="130" t="s">
        <v>185</v>
      </c>
      <c r="AD11" s="62" t="s">
        <v>185</v>
      </c>
      <c r="AE11" s="130" t="s">
        <v>185</v>
      </c>
      <c r="AF11" s="62" t="str">
        <f t="shared" si="4"/>
        <v>C</v>
      </c>
      <c r="AG11" s="130">
        <f t="shared" si="5"/>
        <v>9</v>
      </c>
      <c r="AH11" s="62"/>
      <c r="AI11" s="63"/>
      <c r="AJ11" s="130"/>
      <c r="AK11" s="130"/>
      <c r="AL11" s="62"/>
      <c r="AM11" s="63"/>
      <c r="AO11" s="73">
        <f t="shared" si="6"/>
        <v>1</v>
      </c>
      <c r="AP11" s="73">
        <f t="shared" si="7"/>
        <v>2</v>
      </c>
      <c r="AQ11" s="73">
        <f t="shared" si="8"/>
        <v>20</v>
      </c>
      <c r="AR11" s="73" t="str">
        <f t="shared" si="9"/>
        <v>Kevés v.</v>
      </c>
      <c r="AT11" s="273">
        <f t="shared" si="10"/>
        <v>8300</v>
      </c>
      <c r="AU11" s="273" t="str">
        <f t="shared" si="11"/>
        <v/>
      </c>
      <c r="AV11" s="273" t="str">
        <f t="shared" si="12"/>
        <v/>
      </c>
      <c r="AW11" s="273" t="str">
        <f t="shared" si="13"/>
        <v/>
      </c>
      <c r="AX11" s="274"/>
      <c r="AY11" s="313">
        <f t="shared" si="14"/>
        <v>8300</v>
      </c>
    </row>
    <row r="12" spans="1:51" ht="15" customHeight="1" x14ac:dyDescent="0.3">
      <c r="A12" s="68">
        <v>30</v>
      </c>
      <c r="B12" s="141" t="s">
        <v>174</v>
      </c>
      <c r="C12" s="250" t="s">
        <v>109</v>
      </c>
      <c r="D12" s="143" t="s">
        <v>113</v>
      </c>
      <c r="E12" s="142" t="s">
        <v>103</v>
      </c>
      <c r="F12" s="145">
        <v>3</v>
      </c>
      <c r="G12" s="66" t="s">
        <v>357</v>
      </c>
      <c r="H12" s="53">
        <v>6</v>
      </c>
      <c r="I12" s="52">
        <v>16150</v>
      </c>
      <c r="J12" s="182">
        <v>3</v>
      </c>
      <c r="K12" s="135"/>
      <c r="L12" s="127">
        <v>7</v>
      </c>
      <c r="M12" s="127">
        <v>20</v>
      </c>
      <c r="N12" s="127">
        <f t="shared" si="0"/>
        <v>3</v>
      </c>
      <c r="O12" s="127"/>
      <c r="P12" s="127"/>
      <c r="Q12" s="127"/>
      <c r="R12" s="128">
        <f t="shared" si="1"/>
        <v>30</v>
      </c>
      <c r="T12" s="285">
        <v>6475</v>
      </c>
      <c r="U12" s="285">
        <v>0</v>
      </c>
      <c r="V12" s="285">
        <f t="shared" si="2"/>
        <v>16150</v>
      </c>
      <c r="W12" s="287"/>
      <c r="X12" s="287"/>
      <c r="Y12" s="285"/>
      <c r="Z12" s="286">
        <f t="shared" si="3"/>
        <v>22625</v>
      </c>
      <c r="AB12" s="62" t="s">
        <v>360</v>
      </c>
      <c r="AC12" s="130">
        <v>4</v>
      </c>
      <c r="AD12" s="62" t="s">
        <v>185</v>
      </c>
      <c r="AE12" s="130" t="s">
        <v>185</v>
      </c>
      <c r="AF12" s="62" t="str">
        <f t="shared" si="4"/>
        <v>C</v>
      </c>
      <c r="AG12" s="130">
        <f t="shared" si="5"/>
        <v>6</v>
      </c>
      <c r="AH12" s="62"/>
      <c r="AI12" s="63"/>
      <c r="AJ12" s="130"/>
      <c r="AK12" s="130"/>
      <c r="AL12" s="62"/>
      <c r="AM12" s="63"/>
      <c r="AO12" s="73">
        <f t="shared" si="6"/>
        <v>2</v>
      </c>
      <c r="AP12" s="73">
        <f t="shared" si="7"/>
        <v>10</v>
      </c>
      <c r="AQ12" s="73">
        <f t="shared" si="8"/>
        <v>20</v>
      </c>
      <c r="AR12" s="73" t="str">
        <f t="shared" si="9"/>
        <v>Kevés v.</v>
      </c>
      <c r="AT12" s="273" t="str">
        <f t="shared" si="10"/>
        <v/>
      </c>
      <c r="AU12" s="273">
        <f t="shared" si="11"/>
        <v>6300</v>
      </c>
      <c r="AV12" s="273" t="str">
        <f t="shared" si="12"/>
        <v/>
      </c>
      <c r="AW12" s="273" t="str">
        <f t="shared" si="13"/>
        <v/>
      </c>
      <c r="AX12" s="274"/>
      <c r="AY12" s="313">
        <f t="shared" si="14"/>
        <v>6300</v>
      </c>
    </row>
    <row r="13" spans="1:51" ht="15" customHeight="1" x14ac:dyDescent="0.3">
      <c r="A13" s="68">
        <v>153</v>
      </c>
      <c r="B13" s="141" t="s">
        <v>423</v>
      </c>
      <c r="C13" s="141" t="s">
        <v>105</v>
      </c>
      <c r="D13" s="143" t="s">
        <v>113</v>
      </c>
      <c r="E13" s="142" t="s">
        <v>103</v>
      </c>
      <c r="F13" s="145">
        <v>2</v>
      </c>
      <c r="G13" s="66" t="s">
        <v>354</v>
      </c>
      <c r="H13" s="53">
        <v>8</v>
      </c>
      <c r="I13" s="52">
        <v>15000</v>
      </c>
      <c r="J13" s="182">
        <v>3</v>
      </c>
      <c r="K13" s="135"/>
      <c r="L13" s="127">
        <v>20</v>
      </c>
      <c r="M13" s="127">
        <v>20</v>
      </c>
      <c r="N13" s="127">
        <f t="shared" si="0"/>
        <v>3</v>
      </c>
      <c r="O13" s="127"/>
      <c r="P13" s="127"/>
      <c r="Q13" s="127"/>
      <c r="R13" s="128">
        <f t="shared" si="1"/>
        <v>43</v>
      </c>
      <c r="T13" s="285">
        <v>0</v>
      </c>
      <c r="U13" s="285">
        <v>0</v>
      </c>
      <c r="V13" s="285">
        <f t="shared" si="2"/>
        <v>15000</v>
      </c>
      <c r="W13" s="287"/>
      <c r="X13" s="287"/>
      <c r="Y13" s="285"/>
      <c r="Z13" s="286">
        <f t="shared" si="3"/>
        <v>15000</v>
      </c>
      <c r="AB13" s="62" t="s">
        <v>185</v>
      </c>
      <c r="AC13" s="130" t="s">
        <v>185</v>
      </c>
      <c r="AD13" s="62" t="s">
        <v>185</v>
      </c>
      <c r="AE13" s="130" t="s">
        <v>185</v>
      </c>
      <c r="AF13" s="62" t="str">
        <f t="shared" si="4"/>
        <v>A</v>
      </c>
      <c r="AG13" s="130">
        <f t="shared" si="5"/>
        <v>8</v>
      </c>
      <c r="AH13" s="62"/>
      <c r="AI13" s="63"/>
      <c r="AJ13" s="130"/>
      <c r="AK13" s="130"/>
      <c r="AL13" s="62"/>
      <c r="AM13" s="63"/>
      <c r="AO13" s="73">
        <f t="shared" si="6"/>
        <v>1</v>
      </c>
      <c r="AP13" s="73">
        <f t="shared" si="7"/>
        <v>3</v>
      </c>
      <c r="AQ13" s="73">
        <f t="shared" si="8"/>
        <v>20</v>
      </c>
      <c r="AR13" s="73" t="str">
        <f t="shared" si="9"/>
        <v>Kevés v.</v>
      </c>
      <c r="AT13" s="273">
        <f t="shared" si="10"/>
        <v>8300</v>
      </c>
      <c r="AU13" s="273" t="str">
        <f t="shared" si="11"/>
        <v/>
      </c>
      <c r="AV13" s="273" t="str">
        <f t="shared" si="12"/>
        <v/>
      </c>
      <c r="AW13" s="273" t="str">
        <f t="shared" si="13"/>
        <v/>
      </c>
      <c r="AX13" s="274"/>
      <c r="AY13" s="313">
        <f t="shared" si="14"/>
        <v>8300</v>
      </c>
    </row>
    <row r="14" spans="1:51" ht="15" customHeight="1" x14ac:dyDescent="0.3">
      <c r="A14" s="68">
        <v>152</v>
      </c>
      <c r="B14" s="141" t="s">
        <v>422</v>
      </c>
      <c r="C14" s="141" t="s">
        <v>104</v>
      </c>
      <c r="D14" s="143" t="s">
        <v>113</v>
      </c>
      <c r="E14" s="142" t="s">
        <v>103</v>
      </c>
      <c r="F14" s="145">
        <v>3</v>
      </c>
      <c r="G14" s="66" t="s">
        <v>357</v>
      </c>
      <c r="H14" s="53">
        <v>5</v>
      </c>
      <c r="I14" s="52">
        <v>15000</v>
      </c>
      <c r="J14" s="182">
        <v>4</v>
      </c>
      <c r="K14" s="135"/>
      <c r="L14" s="127">
        <v>20</v>
      </c>
      <c r="M14" s="127">
        <v>20</v>
      </c>
      <c r="N14" s="127">
        <f t="shared" si="0"/>
        <v>4</v>
      </c>
      <c r="O14" s="127"/>
      <c r="P14" s="127"/>
      <c r="Q14" s="127"/>
      <c r="R14" s="128">
        <f t="shared" si="1"/>
        <v>44</v>
      </c>
      <c r="T14" s="285">
        <v>0</v>
      </c>
      <c r="U14" s="285">
        <v>0</v>
      </c>
      <c r="V14" s="285">
        <f t="shared" si="2"/>
        <v>15000</v>
      </c>
      <c r="W14" s="287"/>
      <c r="X14" s="287"/>
      <c r="Y14" s="285"/>
      <c r="Z14" s="286">
        <f t="shared" si="3"/>
        <v>15000</v>
      </c>
      <c r="AB14" s="62" t="s">
        <v>185</v>
      </c>
      <c r="AC14" s="130" t="s">
        <v>185</v>
      </c>
      <c r="AD14" s="62" t="s">
        <v>185</v>
      </c>
      <c r="AE14" s="130" t="s">
        <v>185</v>
      </c>
      <c r="AF14" s="62" t="str">
        <f t="shared" si="4"/>
        <v>C</v>
      </c>
      <c r="AG14" s="130">
        <f t="shared" si="5"/>
        <v>5</v>
      </c>
      <c r="AH14" s="62"/>
      <c r="AI14" s="63"/>
      <c r="AJ14" s="130"/>
      <c r="AK14" s="130"/>
      <c r="AL14" s="62"/>
      <c r="AM14" s="63"/>
      <c r="AO14" s="73">
        <f t="shared" si="6"/>
        <v>1</v>
      </c>
      <c r="AP14" s="73">
        <f t="shared" si="7"/>
        <v>4</v>
      </c>
      <c r="AQ14" s="73">
        <f t="shared" si="8"/>
        <v>20</v>
      </c>
      <c r="AR14" s="73" t="str">
        <f t="shared" si="9"/>
        <v>Kevés v.</v>
      </c>
      <c r="AT14" s="273" t="str">
        <f t="shared" si="10"/>
        <v/>
      </c>
      <c r="AU14" s="273">
        <f t="shared" si="11"/>
        <v>6300</v>
      </c>
      <c r="AV14" s="273" t="str">
        <f t="shared" si="12"/>
        <v/>
      </c>
      <c r="AW14" s="273" t="str">
        <f t="shared" si="13"/>
        <v/>
      </c>
      <c r="AX14" s="274"/>
      <c r="AY14" s="313">
        <f t="shared" si="14"/>
        <v>6300</v>
      </c>
    </row>
    <row r="15" spans="1:51" ht="15" customHeight="1" x14ac:dyDescent="0.3">
      <c r="A15" s="68">
        <v>25</v>
      </c>
      <c r="B15" s="250" t="s">
        <v>168</v>
      </c>
      <c r="C15" s="141" t="s">
        <v>169</v>
      </c>
      <c r="D15" s="143" t="s">
        <v>113</v>
      </c>
      <c r="E15" s="142" t="s">
        <v>103</v>
      </c>
      <c r="F15" s="145">
        <v>3</v>
      </c>
      <c r="G15" s="66" t="s">
        <v>357</v>
      </c>
      <c r="H15" s="53">
        <v>3</v>
      </c>
      <c r="I15" s="52">
        <v>14750</v>
      </c>
      <c r="J15" s="182">
        <v>5</v>
      </c>
      <c r="K15" s="135"/>
      <c r="L15" s="127">
        <v>1</v>
      </c>
      <c r="M15" s="127">
        <v>2</v>
      </c>
      <c r="N15" s="127">
        <f t="shared" si="0"/>
        <v>5</v>
      </c>
      <c r="O15" s="127"/>
      <c r="P15" s="127"/>
      <c r="Q15" s="127"/>
      <c r="R15" s="128">
        <f t="shared" si="1"/>
        <v>8</v>
      </c>
      <c r="T15" s="285">
        <v>15475</v>
      </c>
      <c r="U15" s="285">
        <v>15000</v>
      </c>
      <c r="V15" s="285">
        <f t="shared" si="2"/>
        <v>14750</v>
      </c>
      <c r="W15" s="287"/>
      <c r="X15" s="287"/>
      <c r="Y15" s="285"/>
      <c r="Z15" s="286">
        <f t="shared" si="3"/>
        <v>45225</v>
      </c>
      <c r="AB15" s="62" t="s">
        <v>359</v>
      </c>
      <c r="AC15" s="130">
        <v>9</v>
      </c>
      <c r="AD15" s="62" t="s">
        <v>356</v>
      </c>
      <c r="AE15" s="130">
        <v>6</v>
      </c>
      <c r="AF15" s="62" t="str">
        <f t="shared" si="4"/>
        <v>C</v>
      </c>
      <c r="AG15" s="130">
        <f t="shared" si="5"/>
        <v>3</v>
      </c>
      <c r="AH15" s="62"/>
      <c r="AI15" s="63"/>
      <c r="AJ15" s="130"/>
      <c r="AK15" s="130"/>
      <c r="AL15" s="62"/>
      <c r="AM15" s="63"/>
      <c r="AO15" s="73">
        <f t="shared" si="6"/>
        <v>3</v>
      </c>
      <c r="AP15" s="73">
        <f t="shared" si="7"/>
        <v>8</v>
      </c>
      <c r="AQ15" s="73">
        <f t="shared" si="8"/>
        <v>5</v>
      </c>
      <c r="AR15" s="73" t="str">
        <f t="shared" si="9"/>
        <v>Kevés v.</v>
      </c>
      <c r="AT15" s="273" t="str">
        <f t="shared" si="10"/>
        <v/>
      </c>
      <c r="AU15" s="273">
        <f t="shared" si="11"/>
        <v>6300</v>
      </c>
      <c r="AV15" s="273" t="str">
        <f t="shared" si="12"/>
        <v/>
      </c>
      <c r="AW15" s="273" t="str">
        <f t="shared" si="13"/>
        <v/>
      </c>
      <c r="AX15" s="274"/>
      <c r="AY15" s="313">
        <f t="shared" si="14"/>
        <v>6300</v>
      </c>
    </row>
    <row r="16" spans="1:51" ht="15" customHeight="1" x14ac:dyDescent="0.3">
      <c r="A16" s="71">
        <v>122</v>
      </c>
      <c r="B16" s="47" t="s">
        <v>349</v>
      </c>
      <c r="C16" s="47" t="s">
        <v>105</v>
      </c>
      <c r="D16" s="70" t="s">
        <v>113</v>
      </c>
      <c r="E16" s="69" t="s">
        <v>103</v>
      </c>
      <c r="F16" s="145">
        <v>2</v>
      </c>
      <c r="G16" s="66" t="s">
        <v>353</v>
      </c>
      <c r="H16" s="53">
        <v>3</v>
      </c>
      <c r="I16" s="52">
        <v>14550</v>
      </c>
      <c r="J16" s="182">
        <v>3</v>
      </c>
      <c r="K16" s="135"/>
      <c r="L16" s="127">
        <v>20</v>
      </c>
      <c r="M16" s="127">
        <v>20</v>
      </c>
      <c r="N16" s="127">
        <f t="shared" si="0"/>
        <v>3</v>
      </c>
      <c r="O16" s="127"/>
      <c r="P16" s="127"/>
      <c r="Q16" s="127"/>
      <c r="R16" s="128">
        <f t="shared" si="1"/>
        <v>43</v>
      </c>
      <c r="T16" s="285">
        <v>0</v>
      </c>
      <c r="U16" s="285">
        <v>0</v>
      </c>
      <c r="V16" s="285">
        <f t="shared" si="2"/>
        <v>14550</v>
      </c>
      <c r="W16" s="287"/>
      <c r="X16" s="287"/>
      <c r="Y16" s="285"/>
      <c r="Z16" s="286">
        <f t="shared" si="3"/>
        <v>14550</v>
      </c>
      <c r="AB16" s="62" t="s">
        <v>185</v>
      </c>
      <c r="AC16" s="130" t="s">
        <v>185</v>
      </c>
      <c r="AD16" s="62" t="s">
        <v>185</v>
      </c>
      <c r="AE16" s="130" t="s">
        <v>185</v>
      </c>
      <c r="AF16" s="62" t="str">
        <f t="shared" si="4"/>
        <v>B</v>
      </c>
      <c r="AG16" s="130">
        <f t="shared" si="5"/>
        <v>3</v>
      </c>
      <c r="AH16" s="62"/>
      <c r="AI16" s="63"/>
      <c r="AJ16" s="130"/>
      <c r="AK16" s="130"/>
      <c r="AL16" s="62"/>
      <c r="AM16" s="63"/>
      <c r="AO16" s="73">
        <f t="shared" si="6"/>
        <v>1</v>
      </c>
      <c r="AP16" s="73">
        <f t="shared" si="7"/>
        <v>3</v>
      </c>
      <c r="AQ16" s="73">
        <f t="shared" si="8"/>
        <v>20</v>
      </c>
      <c r="AR16" s="73" t="str">
        <f t="shared" si="9"/>
        <v>Kevés v.</v>
      </c>
      <c r="AT16" s="273">
        <f t="shared" si="10"/>
        <v>8300</v>
      </c>
      <c r="AU16" s="273" t="str">
        <f t="shared" si="11"/>
        <v/>
      </c>
      <c r="AV16" s="273" t="str">
        <f t="shared" si="12"/>
        <v/>
      </c>
      <c r="AW16" s="273" t="str">
        <f t="shared" si="13"/>
        <v/>
      </c>
      <c r="AX16" s="274"/>
      <c r="AY16" s="313">
        <f t="shared" si="14"/>
        <v>8300</v>
      </c>
    </row>
    <row r="17" spans="1:51" ht="15" customHeight="1" x14ac:dyDescent="0.3">
      <c r="A17" s="68">
        <v>78</v>
      </c>
      <c r="B17" s="141" t="s">
        <v>283</v>
      </c>
      <c r="C17" s="141" t="s">
        <v>105</v>
      </c>
      <c r="D17" s="143" t="s">
        <v>113</v>
      </c>
      <c r="E17" s="142" t="s">
        <v>103</v>
      </c>
      <c r="F17" s="145">
        <v>3</v>
      </c>
      <c r="G17" s="66" t="s">
        <v>353</v>
      </c>
      <c r="H17" s="53">
        <v>6</v>
      </c>
      <c r="I17" s="52">
        <v>13875</v>
      </c>
      <c r="J17" s="182">
        <v>4</v>
      </c>
      <c r="K17" s="135"/>
      <c r="L17" s="127">
        <v>4</v>
      </c>
      <c r="M17" s="127">
        <v>1</v>
      </c>
      <c r="N17" s="127">
        <f t="shared" si="0"/>
        <v>4</v>
      </c>
      <c r="O17" s="127"/>
      <c r="P17" s="127"/>
      <c r="Q17" s="127"/>
      <c r="R17" s="128">
        <f t="shared" si="1"/>
        <v>9</v>
      </c>
      <c r="T17" s="285">
        <v>13475</v>
      </c>
      <c r="U17" s="285">
        <v>16925</v>
      </c>
      <c r="V17" s="285">
        <f t="shared" si="2"/>
        <v>13875</v>
      </c>
      <c r="W17" s="287"/>
      <c r="X17" s="287"/>
      <c r="Y17" s="285"/>
      <c r="Z17" s="286">
        <f t="shared" si="3"/>
        <v>44275</v>
      </c>
      <c r="AB17" s="62" t="s">
        <v>359</v>
      </c>
      <c r="AC17" s="130">
        <v>6</v>
      </c>
      <c r="AD17" s="62" t="s">
        <v>359</v>
      </c>
      <c r="AE17" s="130">
        <v>1</v>
      </c>
      <c r="AF17" s="62" t="str">
        <f t="shared" si="4"/>
        <v>B</v>
      </c>
      <c r="AG17" s="130">
        <f t="shared" si="5"/>
        <v>6</v>
      </c>
      <c r="AH17" s="62"/>
      <c r="AI17" s="63"/>
      <c r="AJ17" s="130"/>
      <c r="AK17" s="130"/>
      <c r="AL17" s="62"/>
      <c r="AM17" s="63"/>
      <c r="AO17" s="73">
        <f t="shared" si="6"/>
        <v>3</v>
      </c>
      <c r="AP17" s="73">
        <f t="shared" si="7"/>
        <v>9</v>
      </c>
      <c r="AQ17" s="73">
        <f t="shared" si="8"/>
        <v>4</v>
      </c>
      <c r="AR17" s="73" t="str">
        <f t="shared" si="9"/>
        <v>Kevés v.</v>
      </c>
      <c r="AT17" s="273" t="str">
        <f t="shared" si="10"/>
        <v/>
      </c>
      <c r="AU17" s="273">
        <f t="shared" si="11"/>
        <v>6300</v>
      </c>
      <c r="AV17" s="273" t="str">
        <f t="shared" si="12"/>
        <v/>
      </c>
      <c r="AW17" s="273" t="str">
        <f t="shared" si="13"/>
        <v/>
      </c>
      <c r="AX17" s="274"/>
      <c r="AY17" s="313">
        <f t="shared" si="14"/>
        <v>6300</v>
      </c>
    </row>
    <row r="18" spans="1:51" ht="15" customHeight="1" x14ac:dyDescent="0.3">
      <c r="A18" s="68">
        <v>97</v>
      </c>
      <c r="B18" s="141" t="s">
        <v>310</v>
      </c>
      <c r="C18" s="141" t="s">
        <v>311</v>
      </c>
      <c r="D18" s="143" t="s">
        <v>113</v>
      </c>
      <c r="E18" s="142" t="s">
        <v>103</v>
      </c>
      <c r="F18" s="145"/>
      <c r="G18" s="66" t="s">
        <v>357</v>
      </c>
      <c r="H18" s="53">
        <v>7</v>
      </c>
      <c r="I18" s="52">
        <v>13380</v>
      </c>
      <c r="J18" s="182">
        <v>6</v>
      </c>
      <c r="K18" s="135"/>
      <c r="L18" s="127">
        <v>5</v>
      </c>
      <c r="M18" s="127">
        <v>5</v>
      </c>
      <c r="N18" s="127">
        <f t="shared" si="0"/>
        <v>6</v>
      </c>
      <c r="O18" s="127"/>
      <c r="P18" s="127"/>
      <c r="Q18" s="127"/>
      <c r="R18" s="128">
        <f t="shared" si="1"/>
        <v>16</v>
      </c>
      <c r="T18" s="285">
        <v>8950</v>
      </c>
      <c r="U18" s="285">
        <v>8575</v>
      </c>
      <c r="V18" s="285">
        <f t="shared" si="2"/>
        <v>13380</v>
      </c>
      <c r="W18" s="287"/>
      <c r="X18" s="287"/>
      <c r="Y18" s="285"/>
      <c r="Z18" s="286">
        <f t="shared" si="3"/>
        <v>30905</v>
      </c>
      <c r="AB18" s="62" t="s">
        <v>360</v>
      </c>
      <c r="AC18" s="130">
        <v>9</v>
      </c>
      <c r="AD18" s="62" t="s">
        <v>356</v>
      </c>
      <c r="AE18" s="130">
        <v>5</v>
      </c>
      <c r="AF18" s="62" t="str">
        <f t="shared" si="4"/>
        <v>C</v>
      </c>
      <c r="AG18" s="130">
        <f t="shared" si="5"/>
        <v>7</v>
      </c>
      <c r="AH18" s="62"/>
      <c r="AI18" s="63"/>
      <c r="AJ18" s="130"/>
      <c r="AK18" s="130"/>
      <c r="AL18" s="62"/>
      <c r="AM18" s="63"/>
      <c r="AO18" s="73">
        <f t="shared" si="6"/>
        <v>3</v>
      </c>
      <c r="AP18" s="73">
        <f t="shared" si="7"/>
        <v>16</v>
      </c>
      <c r="AQ18" s="73">
        <f t="shared" si="8"/>
        <v>6</v>
      </c>
      <c r="AR18" s="73" t="str">
        <f t="shared" si="9"/>
        <v>Kevés v.</v>
      </c>
      <c r="AT18" s="273" t="str">
        <f t="shared" si="10"/>
        <v/>
      </c>
      <c r="AU18" s="273" t="str">
        <f t="shared" si="11"/>
        <v/>
      </c>
      <c r="AV18" s="273" t="s">
        <v>366</v>
      </c>
      <c r="AW18" s="273" t="str">
        <f t="shared" si="13"/>
        <v/>
      </c>
      <c r="AX18" s="274"/>
      <c r="AY18" s="313">
        <f t="shared" si="14"/>
        <v>0</v>
      </c>
    </row>
    <row r="19" spans="1:51" ht="15" customHeight="1" x14ac:dyDescent="0.3">
      <c r="A19" s="68">
        <v>73</v>
      </c>
      <c r="B19" s="141" t="s">
        <v>275</v>
      </c>
      <c r="C19" s="141" t="s">
        <v>105</v>
      </c>
      <c r="D19" s="143" t="s">
        <v>113</v>
      </c>
      <c r="E19" s="142" t="s">
        <v>103</v>
      </c>
      <c r="F19" s="145">
        <v>3</v>
      </c>
      <c r="G19" s="66" t="s">
        <v>354</v>
      </c>
      <c r="H19" s="53">
        <v>3</v>
      </c>
      <c r="I19" s="52">
        <v>12350</v>
      </c>
      <c r="J19" s="182">
        <v>4</v>
      </c>
      <c r="K19" s="135"/>
      <c r="L19" s="127">
        <v>8</v>
      </c>
      <c r="M19" s="127">
        <v>4</v>
      </c>
      <c r="N19" s="127">
        <f t="shared" si="0"/>
        <v>4</v>
      </c>
      <c r="O19" s="127"/>
      <c r="P19" s="127"/>
      <c r="Q19" s="127"/>
      <c r="R19" s="128">
        <f t="shared" si="1"/>
        <v>16</v>
      </c>
      <c r="T19" s="285">
        <v>3100</v>
      </c>
      <c r="U19" s="285">
        <v>12900</v>
      </c>
      <c r="V19" s="285">
        <f t="shared" si="2"/>
        <v>12350</v>
      </c>
      <c r="W19" s="287"/>
      <c r="X19" s="287"/>
      <c r="Y19" s="285"/>
      <c r="Z19" s="286">
        <f t="shared" si="3"/>
        <v>28350</v>
      </c>
      <c r="AB19" s="62" t="s">
        <v>359</v>
      </c>
      <c r="AC19" s="130">
        <v>2</v>
      </c>
      <c r="AD19" s="62" t="s">
        <v>356</v>
      </c>
      <c r="AE19" s="130">
        <v>8</v>
      </c>
      <c r="AF19" s="62" t="str">
        <f t="shared" si="4"/>
        <v>A</v>
      </c>
      <c r="AG19" s="130">
        <f t="shared" si="5"/>
        <v>3</v>
      </c>
      <c r="AH19" s="62"/>
      <c r="AI19" s="63"/>
      <c r="AJ19" s="130"/>
      <c r="AK19" s="130"/>
      <c r="AL19" s="62"/>
      <c r="AM19" s="63"/>
      <c r="AO19" s="73">
        <f t="shared" si="6"/>
        <v>3</v>
      </c>
      <c r="AP19" s="73">
        <f t="shared" si="7"/>
        <v>16</v>
      </c>
      <c r="AQ19" s="73">
        <f t="shared" si="8"/>
        <v>8</v>
      </c>
      <c r="AR19" s="73" t="str">
        <f t="shared" si="9"/>
        <v>Kevés v.</v>
      </c>
      <c r="AT19" s="273" t="str">
        <f t="shared" si="10"/>
        <v/>
      </c>
      <c r="AU19" s="273">
        <f t="shared" si="11"/>
        <v>6300</v>
      </c>
      <c r="AV19" s="273" t="str">
        <f t="shared" ref="AV19:AV50" si="15">IF(F19=6,IF(E19="felnőtt",41500,IF(E19="ifjúsági",33000,IF(E19="női",33000,IF(E19="gyermek",5000,"")))),"")</f>
        <v/>
      </c>
      <c r="AW19" s="273" t="str">
        <f t="shared" si="13"/>
        <v/>
      </c>
      <c r="AX19" s="274"/>
      <c r="AY19" s="313">
        <f t="shared" si="14"/>
        <v>6300</v>
      </c>
    </row>
    <row r="20" spans="1:51" ht="15" customHeight="1" x14ac:dyDescent="0.3">
      <c r="A20" s="68">
        <v>98</v>
      </c>
      <c r="B20" s="141" t="s">
        <v>312</v>
      </c>
      <c r="C20" s="250" t="s">
        <v>105</v>
      </c>
      <c r="D20" s="143" t="s">
        <v>113</v>
      </c>
      <c r="E20" s="142" t="s">
        <v>103</v>
      </c>
      <c r="F20" s="145">
        <v>2</v>
      </c>
      <c r="G20" s="66" t="s">
        <v>357</v>
      </c>
      <c r="H20" s="53">
        <v>4</v>
      </c>
      <c r="I20" s="52">
        <v>10750</v>
      </c>
      <c r="J20" s="182">
        <v>7</v>
      </c>
      <c r="K20" s="135"/>
      <c r="L20" s="127">
        <v>7</v>
      </c>
      <c r="M20" s="127">
        <v>20</v>
      </c>
      <c r="N20" s="127">
        <f t="shared" si="0"/>
        <v>7</v>
      </c>
      <c r="O20" s="127"/>
      <c r="P20" s="127"/>
      <c r="Q20" s="127"/>
      <c r="R20" s="128">
        <f t="shared" si="1"/>
        <v>34</v>
      </c>
      <c r="T20" s="285">
        <v>6275</v>
      </c>
      <c r="U20" s="285">
        <v>0</v>
      </c>
      <c r="V20" s="285">
        <f t="shared" si="2"/>
        <v>10750</v>
      </c>
      <c r="W20" s="287"/>
      <c r="X20" s="287"/>
      <c r="Y20" s="285"/>
      <c r="Z20" s="286">
        <f t="shared" si="3"/>
        <v>17025</v>
      </c>
      <c r="AB20" s="62" t="s">
        <v>356</v>
      </c>
      <c r="AC20" s="130">
        <v>1</v>
      </c>
      <c r="AD20" s="62" t="s">
        <v>185</v>
      </c>
      <c r="AE20" s="130" t="s">
        <v>185</v>
      </c>
      <c r="AF20" s="62" t="str">
        <f t="shared" si="4"/>
        <v>C</v>
      </c>
      <c r="AG20" s="130">
        <f t="shared" si="5"/>
        <v>4</v>
      </c>
      <c r="AH20" s="62"/>
      <c r="AI20" s="63"/>
      <c r="AJ20" s="130"/>
      <c r="AK20" s="130"/>
      <c r="AL20" s="62"/>
      <c r="AM20" s="63"/>
      <c r="AO20" s="73">
        <f t="shared" si="6"/>
        <v>2</v>
      </c>
      <c r="AP20" s="73">
        <f t="shared" si="7"/>
        <v>14</v>
      </c>
      <c r="AQ20" s="73">
        <f t="shared" si="8"/>
        <v>20</v>
      </c>
      <c r="AR20" s="73" t="str">
        <f t="shared" si="9"/>
        <v>Kevés v.</v>
      </c>
      <c r="AT20" s="273">
        <f t="shared" si="10"/>
        <v>8300</v>
      </c>
      <c r="AU20" s="273" t="str">
        <f t="shared" si="11"/>
        <v/>
      </c>
      <c r="AV20" s="273" t="str">
        <f t="shared" si="15"/>
        <v/>
      </c>
      <c r="AW20" s="273" t="str">
        <f t="shared" si="13"/>
        <v/>
      </c>
      <c r="AX20" s="274"/>
      <c r="AY20" s="313">
        <f t="shared" si="14"/>
        <v>8300</v>
      </c>
    </row>
    <row r="21" spans="1:51" ht="15" customHeight="1" x14ac:dyDescent="0.3">
      <c r="A21" s="68">
        <v>77</v>
      </c>
      <c r="B21" s="141" t="s">
        <v>282</v>
      </c>
      <c r="C21" s="141" t="s">
        <v>105</v>
      </c>
      <c r="D21" s="143" t="s">
        <v>113</v>
      </c>
      <c r="E21" s="142" t="s">
        <v>103</v>
      </c>
      <c r="F21" s="145"/>
      <c r="G21" s="66" t="s">
        <v>354</v>
      </c>
      <c r="H21" s="53">
        <v>2</v>
      </c>
      <c r="I21" s="52">
        <v>10525</v>
      </c>
      <c r="J21" s="182">
        <v>5</v>
      </c>
      <c r="K21" s="135"/>
      <c r="L21" s="127">
        <v>1</v>
      </c>
      <c r="M21" s="127">
        <v>3</v>
      </c>
      <c r="N21" s="127">
        <f t="shared" si="0"/>
        <v>5</v>
      </c>
      <c r="O21" s="127"/>
      <c r="P21" s="127"/>
      <c r="Q21" s="127"/>
      <c r="R21" s="128">
        <f t="shared" si="1"/>
        <v>9</v>
      </c>
      <c r="T21" s="285">
        <v>11750</v>
      </c>
      <c r="U21" s="285">
        <v>13525</v>
      </c>
      <c r="V21" s="285">
        <f t="shared" si="2"/>
        <v>10525</v>
      </c>
      <c r="W21" s="287"/>
      <c r="X21" s="287"/>
      <c r="Y21" s="285"/>
      <c r="Z21" s="286">
        <f t="shared" si="3"/>
        <v>35800</v>
      </c>
      <c r="AB21" s="62" t="s">
        <v>360</v>
      </c>
      <c r="AC21" s="130">
        <v>2</v>
      </c>
      <c r="AD21" s="62" t="s">
        <v>356</v>
      </c>
      <c r="AE21" s="130">
        <v>1</v>
      </c>
      <c r="AF21" s="62" t="str">
        <f t="shared" si="4"/>
        <v>A</v>
      </c>
      <c r="AG21" s="130">
        <f t="shared" si="5"/>
        <v>2</v>
      </c>
      <c r="AH21" s="62"/>
      <c r="AI21" s="63"/>
      <c r="AJ21" s="130"/>
      <c r="AK21" s="130"/>
      <c r="AL21" s="62"/>
      <c r="AM21" s="63"/>
      <c r="AO21" s="73">
        <f t="shared" si="6"/>
        <v>3</v>
      </c>
      <c r="AP21" s="73">
        <f t="shared" si="7"/>
        <v>9</v>
      </c>
      <c r="AQ21" s="73">
        <f t="shared" si="8"/>
        <v>5</v>
      </c>
      <c r="AR21" s="73" t="str">
        <f t="shared" si="9"/>
        <v>Kevés v.</v>
      </c>
      <c r="AT21" s="273" t="str">
        <f t="shared" si="10"/>
        <v/>
      </c>
      <c r="AU21" s="273" t="s">
        <v>430</v>
      </c>
      <c r="AV21" s="273" t="str">
        <f t="shared" si="15"/>
        <v/>
      </c>
      <c r="AW21" s="273" t="str">
        <f t="shared" si="13"/>
        <v/>
      </c>
      <c r="AX21" s="274"/>
      <c r="AY21" s="313">
        <f t="shared" si="14"/>
        <v>0</v>
      </c>
    </row>
    <row r="22" spans="1:51" ht="15" customHeight="1" x14ac:dyDescent="0.3">
      <c r="A22" s="68">
        <v>29</v>
      </c>
      <c r="B22" s="141" t="s">
        <v>173</v>
      </c>
      <c r="C22" s="250" t="s">
        <v>105</v>
      </c>
      <c r="D22" s="70" t="s">
        <v>113</v>
      </c>
      <c r="E22" s="142" t="s">
        <v>103</v>
      </c>
      <c r="F22" s="145">
        <v>3</v>
      </c>
      <c r="G22" s="66" t="s">
        <v>357</v>
      </c>
      <c r="H22" s="53">
        <v>8</v>
      </c>
      <c r="I22" s="52">
        <v>10500</v>
      </c>
      <c r="J22" s="182">
        <v>8</v>
      </c>
      <c r="K22" s="135"/>
      <c r="L22" s="127">
        <v>8</v>
      </c>
      <c r="M22" s="127">
        <v>20</v>
      </c>
      <c r="N22" s="127">
        <f t="shared" si="0"/>
        <v>8</v>
      </c>
      <c r="O22" s="127"/>
      <c r="P22" s="127"/>
      <c r="Q22" s="127"/>
      <c r="R22" s="128">
        <f t="shared" si="1"/>
        <v>36</v>
      </c>
      <c r="T22" s="285">
        <v>5700</v>
      </c>
      <c r="U22" s="285">
        <v>0</v>
      </c>
      <c r="V22" s="285">
        <f t="shared" si="2"/>
        <v>10500</v>
      </c>
      <c r="W22" s="287"/>
      <c r="X22" s="287"/>
      <c r="Y22" s="285"/>
      <c r="Z22" s="286">
        <f t="shared" si="3"/>
        <v>16200</v>
      </c>
      <c r="AB22" s="62" t="s">
        <v>356</v>
      </c>
      <c r="AC22" s="130">
        <v>7</v>
      </c>
      <c r="AD22" s="62" t="s">
        <v>185</v>
      </c>
      <c r="AE22" s="130" t="s">
        <v>185</v>
      </c>
      <c r="AF22" s="62" t="str">
        <f t="shared" si="4"/>
        <v>C</v>
      </c>
      <c r="AG22" s="130">
        <f t="shared" si="5"/>
        <v>8</v>
      </c>
      <c r="AH22" s="62"/>
      <c r="AI22" s="63"/>
      <c r="AJ22" s="130"/>
      <c r="AK22" s="130"/>
      <c r="AL22" s="62"/>
      <c r="AM22" s="63"/>
      <c r="AO22" s="73">
        <f t="shared" si="6"/>
        <v>2</v>
      </c>
      <c r="AP22" s="73">
        <f t="shared" si="7"/>
        <v>16</v>
      </c>
      <c r="AQ22" s="73">
        <f t="shared" si="8"/>
        <v>20</v>
      </c>
      <c r="AR22" s="73" t="str">
        <f t="shared" si="9"/>
        <v>Kevés v.</v>
      </c>
      <c r="AT22" s="273" t="str">
        <f t="shared" si="10"/>
        <v/>
      </c>
      <c r="AU22" s="273">
        <f t="shared" ref="AU22:AU53" si="16">IF(F22=3,IF(E22="felnőtt",6300,IF(E22="ifjúsági",4600,IF(E22="női",4600,IF(E22="gyermek",0,"")))),"")</f>
        <v>6300</v>
      </c>
      <c r="AV22" s="273" t="str">
        <f t="shared" si="15"/>
        <v/>
      </c>
      <c r="AW22" s="273" t="str">
        <f t="shared" si="13"/>
        <v/>
      </c>
      <c r="AX22" s="274"/>
      <c r="AY22" s="313">
        <f t="shared" si="14"/>
        <v>6300</v>
      </c>
    </row>
    <row r="23" spans="1:51" ht="15" customHeight="1" x14ac:dyDescent="0.3">
      <c r="A23" s="68">
        <v>154</v>
      </c>
      <c r="B23" s="141" t="s">
        <v>424</v>
      </c>
      <c r="C23" s="141" t="s">
        <v>105</v>
      </c>
      <c r="D23" s="143" t="s">
        <v>113</v>
      </c>
      <c r="E23" s="142" t="s">
        <v>103</v>
      </c>
      <c r="F23" s="145">
        <v>3</v>
      </c>
      <c r="G23" s="66" t="s">
        <v>357</v>
      </c>
      <c r="H23" s="53">
        <v>1</v>
      </c>
      <c r="I23" s="52">
        <v>8775</v>
      </c>
      <c r="J23" s="182">
        <v>9</v>
      </c>
      <c r="K23" s="135"/>
      <c r="L23" s="127">
        <v>20</v>
      </c>
      <c r="M23" s="127">
        <v>20</v>
      </c>
      <c r="N23" s="127">
        <f t="shared" si="0"/>
        <v>9</v>
      </c>
      <c r="O23" s="127"/>
      <c r="P23" s="127"/>
      <c r="Q23" s="127"/>
      <c r="R23" s="128">
        <f t="shared" si="1"/>
        <v>49</v>
      </c>
      <c r="T23" s="285">
        <v>0</v>
      </c>
      <c r="U23" s="285">
        <v>0</v>
      </c>
      <c r="V23" s="285">
        <f t="shared" si="2"/>
        <v>8775</v>
      </c>
      <c r="W23" s="287"/>
      <c r="X23" s="287"/>
      <c r="Y23" s="285"/>
      <c r="Z23" s="286">
        <f t="shared" si="3"/>
        <v>8775</v>
      </c>
      <c r="AB23" s="62" t="s">
        <v>185</v>
      </c>
      <c r="AC23" s="130" t="s">
        <v>185</v>
      </c>
      <c r="AD23" s="62" t="s">
        <v>185</v>
      </c>
      <c r="AE23" s="130" t="s">
        <v>185</v>
      </c>
      <c r="AF23" s="62" t="str">
        <f t="shared" si="4"/>
        <v>C</v>
      </c>
      <c r="AG23" s="130">
        <f t="shared" si="5"/>
        <v>1</v>
      </c>
      <c r="AH23" s="62"/>
      <c r="AI23" s="63"/>
      <c r="AJ23" s="130"/>
      <c r="AK23" s="130"/>
      <c r="AL23" s="62"/>
      <c r="AM23" s="63"/>
      <c r="AO23" s="73">
        <f t="shared" si="6"/>
        <v>1</v>
      </c>
      <c r="AP23" s="73">
        <f t="shared" si="7"/>
        <v>9</v>
      </c>
      <c r="AQ23" s="73">
        <f t="shared" si="8"/>
        <v>20</v>
      </c>
      <c r="AR23" s="73" t="str">
        <f t="shared" si="9"/>
        <v>Kevés v.</v>
      </c>
      <c r="AT23" s="273" t="str">
        <f t="shared" si="10"/>
        <v/>
      </c>
      <c r="AU23" s="273">
        <f t="shared" si="16"/>
        <v>6300</v>
      </c>
      <c r="AV23" s="273" t="str">
        <f t="shared" si="15"/>
        <v/>
      </c>
      <c r="AW23" s="273" t="str">
        <f t="shared" si="13"/>
        <v/>
      </c>
      <c r="AX23" s="274"/>
      <c r="AY23" s="313">
        <f t="shared" si="14"/>
        <v>6300</v>
      </c>
    </row>
    <row r="24" spans="1:51" ht="15" customHeight="1" x14ac:dyDescent="0.3">
      <c r="A24" s="71">
        <v>118</v>
      </c>
      <c r="B24" s="47" t="s">
        <v>339</v>
      </c>
      <c r="C24" s="249" t="s">
        <v>340</v>
      </c>
      <c r="D24" s="70" t="s">
        <v>113</v>
      </c>
      <c r="E24" s="69" t="s">
        <v>103</v>
      </c>
      <c r="F24" s="145">
        <v>3</v>
      </c>
      <c r="G24" s="66" t="s">
        <v>354</v>
      </c>
      <c r="H24" s="53">
        <v>1</v>
      </c>
      <c r="I24" s="52">
        <v>7825</v>
      </c>
      <c r="J24" s="182">
        <v>6</v>
      </c>
      <c r="K24" s="135"/>
      <c r="L24" s="127">
        <v>4</v>
      </c>
      <c r="M24" s="127">
        <v>3</v>
      </c>
      <c r="N24" s="127">
        <f t="shared" si="0"/>
        <v>6</v>
      </c>
      <c r="O24" s="127"/>
      <c r="P24" s="127"/>
      <c r="Q24" s="127"/>
      <c r="R24" s="128">
        <f t="shared" si="1"/>
        <v>13</v>
      </c>
      <c r="T24" s="285">
        <v>9475</v>
      </c>
      <c r="U24" s="285">
        <v>12350</v>
      </c>
      <c r="V24" s="285">
        <f t="shared" si="2"/>
        <v>7825</v>
      </c>
      <c r="W24" s="287"/>
      <c r="X24" s="287"/>
      <c r="Y24" s="285"/>
      <c r="Z24" s="286">
        <f t="shared" si="3"/>
        <v>29650</v>
      </c>
      <c r="AB24" s="62" t="s">
        <v>360</v>
      </c>
      <c r="AC24" s="130">
        <v>6</v>
      </c>
      <c r="AD24" s="62" t="s">
        <v>359</v>
      </c>
      <c r="AE24" s="130">
        <v>2</v>
      </c>
      <c r="AF24" s="62" t="str">
        <f t="shared" si="4"/>
        <v>A</v>
      </c>
      <c r="AG24" s="130">
        <f t="shared" si="5"/>
        <v>1</v>
      </c>
      <c r="AH24" s="62"/>
      <c r="AI24" s="63"/>
      <c r="AJ24" s="130"/>
      <c r="AK24" s="130"/>
      <c r="AL24" s="62"/>
      <c r="AM24" s="63"/>
      <c r="AO24" s="73">
        <f t="shared" si="6"/>
        <v>3</v>
      </c>
      <c r="AP24" s="73">
        <f t="shared" si="7"/>
        <v>13</v>
      </c>
      <c r="AQ24" s="73">
        <f t="shared" si="8"/>
        <v>6</v>
      </c>
      <c r="AR24" s="73" t="str">
        <f t="shared" si="9"/>
        <v>Kevés v.</v>
      </c>
      <c r="AT24" s="273" t="str">
        <f t="shared" si="10"/>
        <v/>
      </c>
      <c r="AU24" s="273">
        <f t="shared" si="16"/>
        <v>6300</v>
      </c>
      <c r="AV24" s="273" t="str">
        <f t="shared" si="15"/>
        <v/>
      </c>
      <c r="AW24" s="273" t="str">
        <f t="shared" si="13"/>
        <v/>
      </c>
      <c r="AX24" s="274"/>
      <c r="AY24" s="313">
        <f t="shared" si="14"/>
        <v>6300</v>
      </c>
    </row>
    <row r="25" spans="1:51" x14ac:dyDescent="0.3">
      <c r="A25" s="68">
        <v>79</v>
      </c>
      <c r="B25" s="141" t="s">
        <v>284</v>
      </c>
      <c r="C25" s="250" t="s">
        <v>109</v>
      </c>
      <c r="D25" s="143" t="s">
        <v>113</v>
      </c>
      <c r="E25" s="142" t="s">
        <v>103</v>
      </c>
      <c r="F25" s="145">
        <v>3</v>
      </c>
      <c r="G25" s="66" t="s">
        <v>354</v>
      </c>
      <c r="H25" s="53">
        <v>5</v>
      </c>
      <c r="I25" s="52">
        <v>7775</v>
      </c>
      <c r="J25" s="182">
        <v>7</v>
      </c>
      <c r="K25" s="135"/>
      <c r="L25" s="127">
        <v>6</v>
      </c>
      <c r="M25" s="127">
        <v>6</v>
      </c>
      <c r="N25" s="127">
        <f t="shared" si="0"/>
        <v>7</v>
      </c>
      <c r="O25" s="127"/>
      <c r="P25" s="127"/>
      <c r="Q25" s="127"/>
      <c r="R25" s="128">
        <f t="shared" si="1"/>
        <v>19</v>
      </c>
      <c r="T25" s="285">
        <v>11575</v>
      </c>
      <c r="U25" s="285">
        <v>5600</v>
      </c>
      <c r="V25" s="285">
        <f t="shared" si="2"/>
        <v>7775</v>
      </c>
      <c r="W25" s="287"/>
      <c r="X25" s="287"/>
      <c r="Y25" s="285"/>
      <c r="Z25" s="286">
        <f t="shared" si="3"/>
        <v>24950</v>
      </c>
      <c r="AB25" s="62" t="s">
        <v>359</v>
      </c>
      <c r="AC25" s="130">
        <v>5</v>
      </c>
      <c r="AD25" s="62" t="s">
        <v>359</v>
      </c>
      <c r="AE25" s="130">
        <v>5</v>
      </c>
      <c r="AF25" s="62" t="str">
        <f t="shared" si="4"/>
        <v>A</v>
      </c>
      <c r="AG25" s="130">
        <f t="shared" si="5"/>
        <v>5</v>
      </c>
      <c r="AH25" s="62"/>
      <c r="AI25" s="63"/>
      <c r="AJ25" s="130"/>
      <c r="AK25" s="130"/>
      <c r="AL25" s="62"/>
      <c r="AM25" s="63"/>
      <c r="AO25" s="73">
        <f t="shared" si="6"/>
        <v>3</v>
      </c>
      <c r="AP25" s="73">
        <f t="shared" si="7"/>
        <v>19</v>
      </c>
      <c r="AQ25" s="73">
        <f t="shared" si="8"/>
        <v>7</v>
      </c>
      <c r="AR25" s="73" t="str">
        <f t="shared" si="9"/>
        <v>Kevés v.</v>
      </c>
      <c r="AT25" s="273" t="str">
        <f t="shared" si="10"/>
        <v/>
      </c>
      <c r="AU25" s="273">
        <f t="shared" si="16"/>
        <v>6300</v>
      </c>
      <c r="AV25" s="273" t="str">
        <f t="shared" si="15"/>
        <v/>
      </c>
      <c r="AW25" s="273" t="str">
        <f t="shared" si="13"/>
        <v/>
      </c>
      <c r="AX25" s="274"/>
      <c r="AY25" s="313">
        <f t="shared" si="14"/>
        <v>6300</v>
      </c>
    </row>
    <row r="26" spans="1:51" ht="15" customHeight="1" x14ac:dyDescent="0.3">
      <c r="A26" s="68">
        <v>76</v>
      </c>
      <c r="B26" s="141" t="s">
        <v>280</v>
      </c>
      <c r="C26" s="141" t="s">
        <v>281</v>
      </c>
      <c r="D26" s="143" t="s">
        <v>113</v>
      </c>
      <c r="E26" s="142" t="s">
        <v>103</v>
      </c>
      <c r="F26" s="145">
        <v>2</v>
      </c>
      <c r="G26" s="66" t="s">
        <v>353</v>
      </c>
      <c r="H26" s="53">
        <v>1</v>
      </c>
      <c r="I26" s="52">
        <v>7225</v>
      </c>
      <c r="J26" s="182">
        <v>5</v>
      </c>
      <c r="K26" s="135">
        <v>1</v>
      </c>
      <c r="L26" s="127">
        <v>3</v>
      </c>
      <c r="M26" s="127">
        <v>8</v>
      </c>
      <c r="N26" s="127">
        <f t="shared" si="0"/>
        <v>5</v>
      </c>
      <c r="O26" s="127"/>
      <c r="P26" s="127"/>
      <c r="Q26" s="127"/>
      <c r="R26" s="128">
        <f t="shared" si="1"/>
        <v>16</v>
      </c>
      <c r="T26" s="285">
        <v>14000</v>
      </c>
      <c r="U26" s="285">
        <v>3600</v>
      </c>
      <c r="V26" s="285">
        <f t="shared" si="2"/>
        <v>7225</v>
      </c>
      <c r="W26" s="287"/>
      <c r="X26" s="287"/>
      <c r="Y26" s="285"/>
      <c r="Z26" s="286">
        <f t="shared" si="3"/>
        <v>24825</v>
      </c>
      <c r="AB26" s="62" t="s">
        <v>359</v>
      </c>
      <c r="AC26" s="130">
        <v>1</v>
      </c>
      <c r="AD26" s="62" t="s">
        <v>356</v>
      </c>
      <c r="AE26" s="130">
        <v>2</v>
      </c>
      <c r="AF26" s="62" t="str">
        <f t="shared" si="4"/>
        <v>B</v>
      </c>
      <c r="AG26" s="130">
        <f t="shared" si="5"/>
        <v>1</v>
      </c>
      <c r="AH26" s="62"/>
      <c r="AI26" s="63"/>
      <c r="AJ26" s="130"/>
      <c r="AK26" s="130"/>
      <c r="AL26" s="62"/>
      <c r="AM26" s="63"/>
      <c r="AO26" s="73">
        <f t="shared" si="6"/>
        <v>3</v>
      </c>
      <c r="AP26" s="73">
        <f t="shared" si="7"/>
        <v>16</v>
      </c>
      <c r="AQ26" s="73">
        <f t="shared" si="8"/>
        <v>8</v>
      </c>
      <c r="AR26" s="73" t="str">
        <f t="shared" si="9"/>
        <v>Kevés v.</v>
      </c>
      <c r="AT26" s="273">
        <f t="shared" si="10"/>
        <v>8300</v>
      </c>
      <c r="AU26" s="273" t="str">
        <f t="shared" si="16"/>
        <v/>
      </c>
      <c r="AV26" s="273" t="str">
        <f t="shared" si="15"/>
        <v/>
      </c>
      <c r="AW26" s="273" t="str">
        <f t="shared" si="13"/>
        <v/>
      </c>
      <c r="AX26" s="274"/>
      <c r="AY26" s="313">
        <f t="shared" si="14"/>
        <v>8300</v>
      </c>
    </row>
    <row r="27" spans="1:51" x14ac:dyDescent="0.3">
      <c r="A27" s="68">
        <v>28</v>
      </c>
      <c r="B27" s="141" t="s">
        <v>172</v>
      </c>
      <c r="C27" s="141" t="s">
        <v>146</v>
      </c>
      <c r="D27" s="143" t="s">
        <v>113</v>
      </c>
      <c r="E27" s="142" t="s">
        <v>103</v>
      </c>
      <c r="F27" s="145">
        <v>3</v>
      </c>
      <c r="G27" s="66" t="s">
        <v>354</v>
      </c>
      <c r="H27" s="53">
        <v>6</v>
      </c>
      <c r="I27" s="52">
        <v>7050</v>
      </c>
      <c r="J27" s="182">
        <v>8</v>
      </c>
      <c r="K27" s="135"/>
      <c r="L27" s="127">
        <v>5</v>
      </c>
      <c r="M27" s="127">
        <v>5</v>
      </c>
      <c r="N27" s="127">
        <f t="shared" si="0"/>
        <v>8</v>
      </c>
      <c r="O27" s="127"/>
      <c r="P27" s="127"/>
      <c r="Q27" s="127"/>
      <c r="R27" s="128">
        <f t="shared" si="1"/>
        <v>18</v>
      </c>
      <c r="T27" s="285">
        <v>11800</v>
      </c>
      <c r="U27" s="285">
        <v>8075</v>
      </c>
      <c r="V27" s="285">
        <f t="shared" si="2"/>
        <v>7050</v>
      </c>
      <c r="W27" s="287"/>
      <c r="X27" s="287"/>
      <c r="Y27" s="285"/>
      <c r="Z27" s="286">
        <f t="shared" si="3"/>
        <v>26925</v>
      </c>
      <c r="AB27" s="62" t="s">
        <v>359</v>
      </c>
      <c r="AC27" s="130">
        <v>3</v>
      </c>
      <c r="AD27" s="62" t="s">
        <v>359</v>
      </c>
      <c r="AE27" s="130">
        <v>8</v>
      </c>
      <c r="AF27" s="62" t="str">
        <f t="shared" si="4"/>
        <v>A</v>
      </c>
      <c r="AG27" s="130">
        <f t="shared" si="5"/>
        <v>6</v>
      </c>
      <c r="AH27" s="62"/>
      <c r="AI27" s="63"/>
      <c r="AJ27" s="130"/>
      <c r="AK27" s="130"/>
      <c r="AL27" s="62"/>
      <c r="AM27" s="63"/>
      <c r="AO27" s="73">
        <f t="shared" si="6"/>
        <v>3</v>
      </c>
      <c r="AP27" s="73">
        <f t="shared" si="7"/>
        <v>18</v>
      </c>
      <c r="AQ27" s="73">
        <f t="shared" si="8"/>
        <v>8</v>
      </c>
      <c r="AR27" s="73" t="str">
        <f t="shared" si="9"/>
        <v>Kevés v.</v>
      </c>
      <c r="AT27" s="273" t="str">
        <f t="shared" si="10"/>
        <v/>
      </c>
      <c r="AU27" s="273">
        <f t="shared" si="16"/>
        <v>6300</v>
      </c>
      <c r="AV27" s="273" t="str">
        <f t="shared" si="15"/>
        <v/>
      </c>
      <c r="AW27" s="273" t="str">
        <f t="shared" si="13"/>
        <v/>
      </c>
      <c r="AX27" s="274"/>
      <c r="AY27" s="313">
        <f t="shared" si="14"/>
        <v>6300</v>
      </c>
    </row>
    <row r="28" spans="1:51" x14ac:dyDescent="0.3">
      <c r="A28" s="71">
        <v>136</v>
      </c>
      <c r="B28" s="47" t="s">
        <v>390</v>
      </c>
      <c r="C28" s="47" t="s">
        <v>391</v>
      </c>
      <c r="D28" s="70" t="s">
        <v>113</v>
      </c>
      <c r="E28" s="69" t="s">
        <v>103</v>
      </c>
      <c r="F28" s="145">
        <v>2</v>
      </c>
      <c r="G28" s="66" t="s">
        <v>354</v>
      </c>
      <c r="H28" s="53">
        <v>9</v>
      </c>
      <c r="I28" s="52">
        <v>6875</v>
      </c>
      <c r="J28" s="182">
        <v>8</v>
      </c>
      <c r="K28" s="135">
        <v>1</v>
      </c>
      <c r="L28" s="127">
        <v>20</v>
      </c>
      <c r="M28" s="127">
        <v>8</v>
      </c>
      <c r="N28" s="127">
        <f t="shared" si="0"/>
        <v>8</v>
      </c>
      <c r="O28" s="127"/>
      <c r="P28" s="127"/>
      <c r="Q28" s="127"/>
      <c r="R28" s="128">
        <f t="shared" si="1"/>
        <v>36</v>
      </c>
      <c r="T28" s="285">
        <v>0</v>
      </c>
      <c r="U28" s="285">
        <v>3100</v>
      </c>
      <c r="V28" s="285">
        <f t="shared" si="2"/>
        <v>6875</v>
      </c>
      <c r="W28" s="287"/>
      <c r="X28" s="287"/>
      <c r="Y28" s="285"/>
      <c r="Z28" s="286">
        <f t="shared" si="3"/>
        <v>9975</v>
      </c>
      <c r="AB28" s="62" t="s">
        <v>185</v>
      </c>
      <c r="AC28" s="130" t="s">
        <v>185</v>
      </c>
      <c r="AD28" s="62" t="s">
        <v>356</v>
      </c>
      <c r="AE28" s="130">
        <v>4</v>
      </c>
      <c r="AF28" s="62" t="str">
        <f t="shared" si="4"/>
        <v>A</v>
      </c>
      <c r="AG28" s="130">
        <f t="shared" si="5"/>
        <v>9</v>
      </c>
      <c r="AH28" s="62"/>
      <c r="AI28" s="63"/>
      <c r="AJ28" s="130"/>
      <c r="AK28" s="130"/>
      <c r="AL28" s="62"/>
      <c r="AM28" s="63"/>
      <c r="AO28" s="73">
        <f t="shared" si="6"/>
        <v>2</v>
      </c>
      <c r="AP28" s="73">
        <f t="shared" si="7"/>
        <v>16</v>
      </c>
      <c r="AQ28" s="73">
        <f t="shared" si="8"/>
        <v>20</v>
      </c>
      <c r="AR28" s="73" t="str">
        <f t="shared" si="9"/>
        <v>Kevés v.</v>
      </c>
      <c r="AT28" s="273">
        <f t="shared" si="10"/>
        <v>8300</v>
      </c>
      <c r="AU28" s="273" t="str">
        <f t="shared" si="16"/>
        <v/>
      </c>
      <c r="AV28" s="273" t="str">
        <f t="shared" si="15"/>
        <v/>
      </c>
      <c r="AW28" s="273" t="str">
        <f t="shared" si="13"/>
        <v/>
      </c>
      <c r="AX28" s="274"/>
      <c r="AY28" s="313">
        <f t="shared" si="14"/>
        <v>8300</v>
      </c>
    </row>
    <row r="29" spans="1:51" x14ac:dyDescent="0.3">
      <c r="A29" s="68">
        <v>64</v>
      </c>
      <c r="B29" s="141" t="s">
        <v>258</v>
      </c>
      <c r="C29" s="141" t="s">
        <v>229</v>
      </c>
      <c r="D29" s="143" t="s">
        <v>113</v>
      </c>
      <c r="E29" s="142" t="s">
        <v>103</v>
      </c>
      <c r="F29" s="145">
        <v>2</v>
      </c>
      <c r="G29" s="66" t="s">
        <v>353</v>
      </c>
      <c r="H29" s="53">
        <v>2</v>
      </c>
      <c r="I29" s="52">
        <v>6325</v>
      </c>
      <c r="J29" s="182">
        <v>6</v>
      </c>
      <c r="K29" s="135"/>
      <c r="L29" s="127">
        <v>9</v>
      </c>
      <c r="M29" s="127">
        <v>8</v>
      </c>
      <c r="N29" s="127">
        <f t="shared" si="0"/>
        <v>6</v>
      </c>
      <c r="O29" s="127"/>
      <c r="P29" s="127"/>
      <c r="Q29" s="127"/>
      <c r="R29" s="128">
        <f t="shared" si="1"/>
        <v>23</v>
      </c>
      <c r="T29" s="285">
        <v>950</v>
      </c>
      <c r="U29" s="285">
        <v>7875</v>
      </c>
      <c r="V29" s="285">
        <f t="shared" si="2"/>
        <v>6325</v>
      </c>
      <c r="W29" s="287"/>
      <c r="X29" s="287"/>
      <c r="Y29" s="285"/>
      <c r="Z29" s="286">
        <f t="shared" si="3"/>
        <v>15150</v>
      </c>
      <c r="AB29" s="62" t="s">
        <v>353</v>
      </c>
      <c r="AC29" s="130">
        <v>6</v>
      </c>
      <c r="AD29" s="62" t="s">
        <v>363</v>
      </c>
      <c r="AE29" s="130">
        <v>10</v>
      </c>
      <c r="AF29" s="62" t="str">
        <f t="shared" si="4"/>
        <v>B</v>
      </c>
      <c r="AG29" s="130">
        <f t="shared" si="5"/>
        <v>2</v>
      </c>
      <c r="AH29" s="62"/>
      <c r="AI29" s="63"/>
      <c r="AJ29" s="130"/>
      <c r="AK29" s="130"/>
      <c r="AL29" s="62"/>
      <c r="AM29" s="63"/>
      <c r="AO29" s="73">
        <f t="shared" si="6"/>
        <v>3</v>
      </c>
      <c r="AP29" s="73">
        <f t="shared" si="7"/>
        <v>23</v>
      </c>
      <c r="AQ29" s="73">
        <f t="shared" si="8"/>
        <v>9</v>
      </c>
      <c r="AR29" s="73" t="str">
        <f t="shared" si="9"/>
        <v>Kevés v.</v>
      </c>
      <c r="AT29" s="273">
        <f t="shared" si="10"/>
        <v>8300</v>
      </c>
      <c r="AU29" s="273" t="str">
        <f t="shared" si="16"/>
        <v/>
      </c>
      <c r="AV29" s="273" t="str">
        <f t="shared" si="15"/>
        <v/>
      </c>
      <c r="AW29" s="273" t="str">
        <f t="shared" si="13"/>
        <v/>
      </c>
      <c r="AX29" s="274"/>
      <c r="AY29" s="313">
        <f t="shared" si="14"/>
        <v>8300</v>
      </c>
    </row>
    <row r="30" spans="1:51" x14ac:dyDescent="0.3">
      <c r="A30" s="68">
        <v>100</v>
      </c>
      <c r="B30" s="141" t="s">
        <v>314</v>
      </c>
      <c r="C30" s="141" t="s">
        <v>315</v>
      </c>
      <c r="D30" s="143" t="s">
        <v>113</v>
      </c>
      <c r="E30" s="142" t="s">
        <v>108</v>
      </c>
      <c r="F30" s="145"/>
      <c r="G30" s="66" t="s">
        <v>353</v>
      </c>
      <c r="H30" s="53">
        <v>7</v>
      </c>
      <c r="I30" s="52">
        <v>5300</v>
      </c>
      <c r="J30" s="182">
        <v>7</v>
      </c>
      <c r="K30" s="135"/>
      <c r="L30" s="127">
        <v>9</v>
      </c>
      <c r="M30" s="127">
        <v>8</v>
      </c>
      <c r="N30" s="127">
        <f t="shared" si="0"/>
        <v>7</v>
      </c>
      <c r="O30" s="127"/>
      <c r="P30" s="127"/>
      <c r="Q30" s="127"/>
      <c r="R30" s="128">
        <f t="shared" si="1"/>
        <v>24</v>
      </c>
      <c r="T30" s="285">
        <v>725</v>
      </c>
      <c r="U30" s="285">
        <v>775</v>
      </c>
      <c r="V30" s="285">
        <f t="shared" si="2"/>
        <v>5300</v>
      </c>
      <c r="W30" s="287"/>
      <c r="X30" s="287"/>
      <c r="Y30" s="285"/>
      <c r="Z30" s="286">
        <f t="shared" si="3"/>
        <v>6800</v>
      </c>
      <c r="AB30" s="62" t="s">
        <v>359</v>
      </c>
      <c r="AC30" s="130">
        <v>4</v>
      </c>
      <c r="AD30" s="62" t="s">
        <v>359</v>
      </c>
      <c r="AE30" s="130">
        <v>3</v>
      </c>
      <c r="AF30" s="62" t="str">
        <f t="shared" si="4"/>
        <v>B</v>
      </c>
      <c r="AG30" s="130">
        <f t="shared" si="5"/>
        <v>7</v>
      </c>
      <c r="AH30" s="62"/>
      <c r="AI30" s="63"/>
      <c r="AJ30" s="130"/>
      <c r="AK30" s="130"/>
      <c r="AL30" s="62"/>
      <c r="AM30" s="63"/>
      <c r="AO30" s="73">
        <f t="shared" si="6"/>
        <v>3</v>
      </c>
      <c r="AP30" s="73">
        <f t="shared" si="7"/>
        <v>24</v>
      </c>
      <c r="AQ30" s="73">
        <f t="shared" si="8"/>
        <v>9</v>
      </c>
      <c r="AR30" s="73" t="str">
        <f t="shared" si="9"/>
        <v>Kevés v.</v>
      </c>
      <c r="AT30" s="273" t="str">
        <f t="shared" si="10"/>
        <v/>
      </c>
      <c r="AU30" s="273" t="str">
        <f t="shared" si="16"/>
        <v/>
      </c>
      <c r="AV30" s="273" t="str">
        <f t="shared" si="15"/>
        <v/>
      </c>
      <c r="AW30" s="273" t="s">
        <v>367</v>
      </c>
      <c r="AX30" s="274"/>
      <c r="AY30" s="313">
        <f t="shared" si="14"/>
        <v>0</v>
      </c>
    </row>
    <row r="31" spans="1:51" x14ac:dyDescent="0.3">
      <c r="A31" s="68">
        <v>72</v>
      </c>
      <c r="B31" s="141" t="s">
        <v>273</v>
      </c>
      <c r="C31" s="141" t="s">
        <v>274</v>
      </c>
      <c r="D31" s="143" t="s">
        <v>113</v>
      </c>
      <c r="E31" s="142" t="s">
        <v>103</v>
      </c>
      <c r="F31" s="145">
        <v>3</v>
      </c>
      <c r="G31" s="66" t="s">
        <v>353</v>
      </c>
      <c r="H31" s="53">
        <v>4</v>
      </c>
      <c r="I31" s="52">
        <v>3000</v>
      </c>
      <c r="J31" s="182">
        <v>8</v>
      </c>
      <c r="K31" s="135"/>
      <c r="L31" s="127">
        <v>8</v>
      </c>
      <c r="M31" s="127">
        <v>4</v>
      </c>
      <c r="N31" s="127">
        <f t="shared" si="0"/>
        <v>8</v>
      </c>
      <c r="O31" s="127"/>
      <c r="P31" s="127"/>
      <c r="Q31" s="127"/>
      <c r="R31" s="128">
        <f t="shared" si="1"/>
        <v>20</v>
      </c>
      <c r="T31" s="285">
        <v>3650</v>
      </c>
      <c r="U31" s="285">
        <v>9650</v>
      </c>
      <c r="V31" s="285">
        <f t="shared" si="2"/>
        <v>3000</v>
      </c>
      <c r="W31" s="287"/>
      <c r="X31" s="287"/>
      <c r="Y31" s="285"/>
      <c r="Z31" s="286">
        <f t="shared" si="3"/>
        <v>16300</v>
      </c>
      <c r="AB31" s="62" t="s">
        <v>360</v>
      </c>
      <c r="AC31" s="130">
        <v>3</v>
      </c>
      <c r="AD31" s="62" t="s">
        <v>359</v>
      </c>
      <c r="AE31" s="130">
        <v>4</v>
      </c>
      <c r="AF31" s="62" t="str">
        <f t="shared" si="4"/>
        <v>B</v>
      </c>
      <c r="AG31" s="130">
        <f t="shared" si="5"/>
        <v>4</v>
      </c>
      <c r="AH31" s="62"/>
      <c r="AI31" s="63"/>
      <c r="AJ31" s="130"/>
      <c r="AK31" s="130"/>
      <c r="AL31" s="62"/>
      <c r="AM31" s="63"/>
      <c r="AO31" s="73">
        <f t="shared" si="6"/>
        <v>3</v>
      </c>
      <c r="AP31" s="73">
        <f t="shared" si="7"/>
        <v>20</v>
      </c>
      <c r="AQ31" s="73">
        <f t="shared" si="8"/>
        <v>8</v>
      </c>
      <c r="AR31" s="73" t="str">
        <f t="shared" si="9"/>
        <v>Kevés v.</v>
      </c>
      <c r="AT31" s="273" t="str">
        <f t="shared" si="10"/>
        <v/>
      </c>
      <c r="AU31" s="273">
        <f t="shared" si="16"/>
        <v>6300</v>
      </c>
      <c r="AV31" s="273" t="str">
        <f t="shared" si="15"/>
        <v/>
      </c>
      <c r="AW31" s="273" t="str">
        <f>IF(F31=7,IF(E31="felnőtt",31500,IF(E31="ifjúsági",23000,IF(E31="női",23000,IF(E31="gyermek",0,"")))),"")</f>
        <v/>
      </c>
      <c r="AX31" s="274"/>
      <c r="AY31" s="313">
        <f t="shared" si="14"/>
        <v>6300</v>
      </c>
    </row>
    <row r="32" spans="1:51" x14ac:dyDescent="0.3">
      <c r="A32" s="71">
        <v>143</v>
      </c>
      <c r="B32" s="47" t="s">
        <v>404</v>
      </c>
      <c r="C32" s="249" t="s">
        <v>146</v>
      </c>
      <c r="D32" s="70" t="s">
        <v>192</v>
      </c>
      <c r="E32" s="69" t="s">
        <v>10</v>
      </c>
      <c r="F32" s="145">
        <v>2</v>
      </c>
      <c r="G32" s="66" t="s">
        <v>352</v>
      </c>
      <c r="H32" s="53">
        <v>4</v>
      </c>
      <c r="I32" s="52">
        <v>15150</v>
      </c>
      <c r="J32" s="182">
        <v>1</v>
      </c>
      <c r="K32" s="135"/>
      <c r="L32" s="127">
        <v>20</v>
      </c>
      <c r="M32" s="127">
        <v>2</v>
      </c>
      <c r="N32" s="127">
        <f t="shared" si="0"/>
        <v>1</v>
      </c>
      <c r="O32" s="127"/>
      <c r="P32" s="127"/>
      <c r="Q32" s="127"/>
      <c r="R32" s="128">
        <f t="shared" si="1"/>
        <v>23</v>
      </c>
      <c r="T32" s="285">
        <v>0</v>
      </c>
      <c r="U32" s="285">
        <v>6425</v>
      </c>
      <c r="V32" s="285">
        <f t="shared" si="2"/>
        <v>15150</v>
      </c>
      <c r="W32" s="287"/>
      <c r="X32" s="287"/>
      <c r="Y32" s="285"/>
      <c r="Z32" s="286">
        <f t="shared" si="3"/>
        <v>21575</v>
      </c>
      <c r="AB32" s="62" t="s">
        <v>185</v>
      </c>
      <c r="AC32" s="130" t="s">
        <v>185</v>
      </c>
      <c r="AD32" s="62" t="s">
        <v>352</v>
      </c>
      <c r="AE32" s="130">
        <v>1</v>
      </c>
      <c r="AF32" s="62" t="str">
        <f t="shared" si="4"/>
        <v>D</v>
      </c>
      <c r="AG32" s="130">
        <f t="shared" si="5"/>
        <v>4</v>
      </c>
      <c r="AH32" s="62"/>
      <c r="AI32" s="63"/>
      <c r="AJ32" s="130"/>
      <c r="AK32" s="130"/>
      <c r="AL32" s="62"/>
      <c r="AM32" s="63"/>
      <c r="AO32" s="73">
        <f t="shared" si="6"/>
        <v>2</v>
      </c>
      <c r="AP32" s="73">
        <f t="shared" si="7"/>
        <v>3</v>
      </c>
      <c r="AQ32" s="73">
        <f t="shared" si="8"/>
        <v>20</v>
      </c>
      <c r="AR32" s="73" t="str">
        <f t="shared" si="9"/>
        <v>Kevés v.</v>
      </c>
      <c r="AT32" s="273">
        <f t="shared" si="10"/>
        <v>1000</v>
      </c>
      <c r="AU32" s="273" t="str">
        <f t="shared" si="16"/>
        <v/>
      </c>
      <c r="AV32" s="273" t="str">
        <f t="shared" si="15"/>
        <v/>
      </c>
      <c r="AW32" s="273" t="str">
        <f>IF(F32=7,IF(E32="felnőtt",31500,IF(E32="ifjúsági",23000,IF(E32="női",23000,IF(E32="gyermek",0,"")))),"")</f>
        <v/>
      </c>
      <c r="AX32" s="274">
        <v>2000</v>
      </c>
      <c r="AY32" s="313">
        <f t="shared" si="14"/>
        <v>3000</v>
      </c>
    </row>
    <row r="33" spans="1:51" x14ac:dyDescent="0.3">
      <c r="A33" s="71">
        <v>123</v>
      </c>
      <c r="B33" s="249" t="s">
        <v>350</v>
      </c>
      <c r="C33" s="249" t="s">
        <v>351</v>
      </c>
      <c r="D33" s="70" t="s">
        <v>192</v>
      </c>
      <c r="E33" s="69" t="s">
        <v>10</v>
      </c>
      <c r="F33" s="145">
        <v>3</v>
      </c>
      <c r="G33" s="66" t="s">
        <v>352</v>
      </c>
      <c r="H33" s="53">
        <v>1</v>
      </c>
      <c r="I33" s="52">
        <v>6000</v>
      </c>
      <c r="J33" s="182">
        <v>2</v>
      </c>
      <c r="K33" s="135"/>
      <c r="L33" s="127">
        <v>1</v>
      </c>
      <c r="M33" s="127">
        <v>1</v>
      </c>
      <c r="N33" s="127">
        <f t="shared" si="0"/>
        <v>2</v>
      </c>
      <c r="O33" s="127"/>
      <c r="P33" s="127"/>
      <c r="Q33" s="127"/>
      <c r="R33" s="128">
        <f t="shared" si="1"/>
        <v>4</v>
      </c>
      <c r="T33" s="285">
        <v>11675</v>
      </c>
      <c r="U33" s="285">
        <v>8350</v>
      </c>
      <c r="V33" s="285">
        <f t="shared" si="2"/>
        <v>6000</v>
      </c>
      <c r="W33" s="287"/>
      <c r="X33" s="287"/>
      <c r="Y33" s="285"/>
      <c r="Z33" s="286">
        <f t="shared" si="3"/>
        <v>26025</v>
      </c>
      <c r="AB33" s="62" t="s">
        <v>363</v>
      </c>
      <c r="AC33" s="130">
        <v>3</v>
      </c>
      <c r="AD33" s="62" t="s">
        <v>352</v>
      </c>
      <c r="AE33" s="130">
        <v>4</v>
      </c>
      <c r="AF33" s="62" t="str">
        <f t="shared" si="4"/>
        <v>D</v>
      </c>
      <c r="AG33" s="130">
        <f t="shared" si="5"/>
        <v>1</v>
      </c>
      <c r="AH33" s="62"/>
      <c r="AI33" s="63"/>
      <c r="AJ33" s="130"/>
      <c r="AK33" s="130"/>
      <c r="AL33" s="62"/>
      <c r="AM33" s="63"/>
      <c r="AO33" s="73">
        <f t="shared" si="6"/>
        <v>3</v>
      </c>
      <c r="AP33" s="73">
        <f t="shared" si="7"/>
        <v>4</v>
      </c>
      <c r="AQ33" s="73">
        <f t="shared" si="8"/>
        <v>2</v>
      </c>
      <c r="AR33" s="73" t="str">
        <f t="shared" si="9"/>
        <v>Kevés v.</v>
      </c>
      <c r="AT33" s="273" t="str">
        <f t="shared" si="10"/>
        <v/>
      </c>
      <c r="AU33" s="273">
        <f t="shared" si="16"/>
        <v>0</v>
      </c>
      <c r="AV33" s="273" t="str">
        <f t="shared" si="15"/>
        <v/>
      </c>
      <c r="AW33" s="273" t="str">
        <f>IF(F33=7,IF(E33="felnőtt",31500,IF(E33="ifjúsági",23000,IF(E33="női",23000,IF(E33="gyermek",0,"")))),"")</f>
        <v/>
      </c>
      <c r="AX33" s="274"/>
      <c r="AY33" s="313">
        <f t="shared" si="14"/>
        <v>0</v>
      </c>
    </row>
    <row r="34" spans="1:51" x14ac:dyDescent="0.3">
      <c r="A34" s="71">
        <v>134</v>
      </c>
      <c r="B34" s="249" t="s">
        <v>387</v>
      </c>
      <c r="C34" s="249" t="s">
        <v>315</v>
      </c>
      <c r="D34" s="70" t="s">
        <v>192</v>
      </c>
      <c r="E34" s="69" t="s">
        <v>10</v>
      </c>
      <c r="F34" s="145">
        <v>3</v>
      </c>
      <c r="G34" s="66" t="s">
        <v>352</v>
      </c>
      <c r="H34" s="53">
        <v>2</v>
      </c>
      <c r="I34" s="52">
        <v>5450</v>
      </c>
      <c r="J34" s="182">
        <v>3</v>
      </c>
      <c r="K34" s="135"/>
      <c r="L34" s="127">
        <v>20</v>
      </c>
      <c r="M34" s="127">
        <v>7</v>
      </c>
      <c r="N34" s="127">
        <f t="shared" si="0"/>
        <v>3</v>
      </c>
      <c r="O34" s="127"/>
      <c r="P34" s="127"/>
      <c r="Q34" s="127"/>
      <c r="R34" s="128">
        <f t="shared" si="1"/>
        <v>30</v>
      </c>
      <c r="T34" s="285">
        <v>0</v>
      </c>
      <c r="U34" s="285">
        <v>0</v>
      </c>
      <c r="V34" s="285">
        <f t="shared" si="2"/>
        <v>5450</v>
      </c>
      <c r="W34" s="287"/>
      <c r="X34" s="287"/>
      <c r="Y34" s="285"/>
      <c r="Z34" s="286">
        <f t="shared" si="3"/>
        <v>5450</v>
      </c>
      <c r="AB34" s="62" t="s">
        <v>185</v>
      </c>
      <c r="AC34" s="130" t="s">
        <v>185</v>
      </c>
      <c r="AD34" s="62" t="s">
        <v>352</v>
      </c>
      <c r="AE34" s="130">
        <v>6</v>
      </c>
      <c r="AF34" s="62" t="str">
        <f t="shared" si="4"/>
        <v>D</v>
      </c>
      <c r="AG34" s="130">
        <f t="shared" si="5"/>
        <v>2</v>
      </c>
      <c r="AH34" s="62"/>
      <c r="AI34" s="63"/>
      <c r="AJ34" s="130"/>
      <c r="AK34" s="130"/>
      <c r="AL34" s="62"/>
      <c r="AM34" s="63"/>
      <c r="AO34" s="73">
        <f t="shared" si="6"/>
        <v>2</v>
      </c>
      <c r="AP34" s="73">
        <f t="shared" si="7"/>
        <v>10</v>
      </c>
      <c r="AQ34" s="73">
        <f t="shared" si="8"/>
        <v>20</v>
      </c>
      <c r="AR34" s="73" t="str">
        <f t="shared" si="9"/>
        <v>Kevés v.</v>
      </c>
      <c r="AT34" s="273" t="str">
        <f t="shared" si="10"/>
        <v/>
      </c>
      <c r="AU34" s="273">
        <f t="shared" si="16"/>
        <v>0</v>
      </c>
      <c r="AV34" s="273" t="str">
        <f t="shared" si="15"/>
        <v/>
      </c>
      <c r="AW34" s="273" t="str">
        <f>IF(F34=7,IF(E34="felnőtt",31500,IF(E34="ifjúsági",23000,IF(E34="női",23000,IF(E34="gyermek",0,"")))),"")</f>
        <v/>
      </c>
      <c r="AX34" s="274"/>
      <c r="AY34" s="313">
        <f t="shared" si="14"/>
        <v>0</v>
      </c>
    </row>
    <row r="35" spans="1:51" x14ac:dyDescent="0.3">
      <c r="A35" s="68">
        <v>116</v>
      </c>
      <c r="B35" s="249" t="s">
        <v>336</v>
      </c>
      <c r="C35" s="47" t="s">
        <v>315</v>
      </c>
      <c r="D35" s="143" t="s">
        <v>192</v>
      </c>
      <c r="E35" s="70" t="s">
        <v>10</v>
      </c>
      <c r="F35" s="145"/>
      <c r="G35" s="66" t="s">
        <v>352</v>
      </c>
      <c r="H35" s="53">
        <v>5</v>
      </c>
      <c r="I35" s="52">
        <v>3650</v>
      </c>
      <c r="J35" s="182">
        <v>4</v>
      </c>
      <c r="K35" s="135"/>
      <c r="L35" s="127">
        <v>4</v>
      </c>
      <c r="M35" s="127">
        <v>5</v>
      </c>
      <c r="N35" s="127">
        <f t="shared" si="0"/>
        <v>4</v>
      </c>
      <c r="O35" s="127"/>
      <c r="P35" s="127"/>
      <c r="Q35" s="127"/>
      <c r="R35" s="128">
        <f t="shared" si="1"/>
        <v>13</v>
      </c>
      <c r="T35" s="285">
        <v>750</v>
      </c>
      <c r="U35" s="285">
        <v>1375</v>
      </c>
      <c r="V35" s="285">
        <f t="shared" si="2"/>
        <v>3650</v>
      </c>
      <c r="W35" s="287"/>
      <c r="X35" s="287"/>
      <c r="Y35" s="285"/>
      <c r="Z35" s="286">
        <f t="shared" si="3"/>
        <v>5775</v>
      </c>
      <c r="AB35" s="62" t="s">
        <v>363</v>
      </c>
      <c r="AC35" s="130">
        <v>6</v>
      </c>
      <c r="AD35" s="62" t="s">
        <v>352</v>
      </c>
      <c r="AE35" s="130">
        <v>3</v>
      </c>
      <c r="AF35" s="62" t="str">
        <f t="shared" si="4"/>
        <v>D</v>
      </c>
      <c r="AG35" s="130">
        <f t="shared" si="5"/>
        <v>5</v>
      </c>
      <c r="AH35" s="62"/>
      <c r="AI35" s="63"/>
      <c r="AJ35" s="130"/>
      <c r="AK35" s="130"/>
      <c r="AL35" s="62"/>
      <c r="AM35" s="63"/>
      <c r="AO35" s="73">
        <f t="shared" si="6"/>
        <v>3</v>
      </c>
      <c r="AP35" s="73">
        <f t="shared" si="7"/>
        <v>13</v>
      </c>
      <c r="AQ35" s="73">
        <f t="shared" si="8"/>
        <v>5</v>
      </c>
      <c r="AR35" s="73" t="str">
        <f t="shared" si="9"/>
        <v>Kevés v.</v>
      </c>
      <c r="AT35" s="273" t="str">
        <f t="shared" si="10"/>
        <v/>
      </c>
      <c r="AU35" s="273" t="str">
        <f t="shared" si="16"/>
        <v/>
      </c>
      <c r="AV35" s="273" t="str">
        <f t="shared" si="15"/>
        <v/>
      </c>
      <c r="AW35" s="273" t="s">
        <v>368</v>
      </c>
      <c r="AX35" s="274"/>
      <c r="AY35" s="313">
        <f t="shared" si="14"/>
        <v>0</v>
      </c>
    </row>
    <row r="36" spans="1:51" x14ac:dyDescent="0.3">
      <c r="A36" s="71">
        <v>144</v>
      </c>
      <c r="B36" s="47" t="s">
        <v>405</v>
      </c>
      <c r="C36" s="249" t="s">
        <v>146</v>
      </c>
      <c r="D36" s="70" t="s">
        <v>192</v>
      </c>
      <c r="E36" s="69" t="s">
        <v>10</v>
      </c>
      <c r="F36" s="145">
        <v>2</v>
      </c>
      <c r="G36" s="66" t="s">
        <v>352</v>
      </c>
      <c r="H36" s="53">
        <v>3</v>
      </c>
      <c r="I36" s="52">
        <v>3525</v>
      </c>
      <c r="J36" s="182">
        <v>5</v>
      </c>
      <c r="K36" s="135"/>
      <c r="L36" s="127">
        <v>20</v>
      </c>
      <c r="M36" s="127">
        <v>6</v>
      </c>
      <c r="N36" s="127">
        <f t="shared" si="0"/>
        <v>5</v>
      </c>
      <c r="O36" s="127"/>
      <c r="P36" s="127"/>
      <c r="Q36" s="127"/>
      <c r="R36" s="128">
        <f t="shared" si="1"/>
        <v>31</v>
      </c>
      <c r="T36" s="285">
        <v>0</v>
      </c>
      <c r="U36" s="285">
        <v>1100</v>
      </c>
      <c r="V36" s="285">
        <f t="shared" si="2"/>
        <v>3525</v>
      </c>
      <c r="W36" s="287"/>
      <c r="X36" s="287"/>
      <c r="Y36" s="285"/>
      <c r="Z36" s="286">
        <f t="shared" si="3"/>
        <v>4625</v>
      </c>
      <c r="AB36" s="62" t="s">
        <v>185</v>
      </c>
      <c r="AC36" s="130" t="s">
        <v>185</v>
      </c>
      <c r="AD36" s="62" t="s">
        <v>352</v>
      </c>
      <c r="AE36" s="130">
        <v>5</v>
      </c>
      <c r="AF36" s="62" t="str">
        <f t="shared" si="4"/>
        <v>D</v>
      </c>
      <c r="AG36" s="130">
        <f t="shared" si="5"/>
        <v>3</v>
      </c>
      <c r="AH36" s="62"/>
      <c r="AI36" s="63"/>
      <c r="AJ36" s="130"/>
      <c r="AK36" s="130"/>
      <c r="AL36" s="62"/>
      <c r="AM36" s="63"/>
      <c r="AO36" s="73">
        <f t="shared" si="6"/>
        <v>2</v>
      </c>
      <c r="AP36" s="73">
        <f t="shared" si="7"/>
        <v>11</v>
      </c>
      <c r="AQ36" s="73">
        <f t="shared" si="8"/>
        <v>20</v>
      </c>
      <c r="AR36" s="73" t="str">
        <f t="shared" si="9"/>
        <v>Kevés v.</v>
      </c>
      <c r="AT36" s="273">
        <f t="shared" si="10"/>
        <v>1000</v>
      </c>
      <c r="AU36" s="273" t="str">
        <f t="shared" si="16"/>
        <v/>
      </c>
      <c r="AV36" s="273" t="str">
        <f t="shared" si="15"/>
        <v/>
      </c>
      <c r="AW36" s="273" t="str">
        <f t="shared" ref="AW36:AW41" si="17">IF(F36=7,IF(E36="felnőtt",31500,IF(E36="ifjúsági",23000,IF(E36="női",23000,IF(E36="gyermek",0,"")))),"")</f>
        <v/>
      </c>
      <c r="AX36" s="274">
        <v>2000</v>
      </c>
      <c r="AY36" s="313">
        <f t="shared" si="14"/>
        <v>3000</v>
      </c>
    </row>
    <row r="37" spans="1:51" x14ac:dyDescent="0.3">
      <c r="A37" s="68">
        <v>109</v>
      </c>
      <c r="B37" s="47" t="s">
        <v>327</v>
      </c>
      <c r="C37" s="249" t="s">
        <v>297</v>
      </c>
      <c r="D37" s="143" t="s">
        <v>9</v>
      </c>
      <c r="E37" s="69" t="s">
        <v>103</v>
      </c>
      <c r="F37" s="145">
        <v>3</v>
      </c>
      <c r="G37" s="66" t="s">
        <v>355</v>
      </c>
      <c r="H37" s="53">
        <v>11</v>
      </c>
      <c r="I37" s="52">
        <v>27525</v>
      </c>
      <c r="J37" s="182">
        <v>1</v>
      </c>
      <c r="K37" s="135"/>
      <c r="L37" s="127">
        <v>2</v>
      </c>
      <c r="M37" s="127">
        <v>3</v>
      </c>
      <c r="N37" s="127">
        <f t="shared" si="0"/>
        <v>1</v>
      </c>
      <c r="O37" s="127"/>
      <c r="P37" s="127"/>
      <c r="Q37" s="127"/>
      <c r="R37" s="128">
        <f t="shared" si="1"/>
        <v>6</v>
      </c>
      <c r="T37" s="285">
        <v>22050</v>
      </c>
      <c r="U37" s="285">
        <v>25725</v>
      </c>
      <c r="V37" s="285">
        <f t="shared" si="2"/>
        <v>27525</v>
      </c>
      <c r="W37" s="287"/>
      <c r="X37" s="287"/>
      <c r="Y37" s="285"/>
      <c r="Z37" s="286">
        <f t="shared" si="3"/>
        <v>75300</v>
      </c>
      <c r="AB37" s="62" t="s">
        <v>358</v>
      </c>
      <c r="AC37" s="130">
        <v>10</v>
      </c>
      <c r="AD37" s="62" t="s">
        <v>353</v>
      </c>
      <c r="AE37" s="130">
        <v>5</v>
      </c>
      <c r="AF37" s="62" t="str">
        <f t="shared" si="4"/>
        <v>E</v>
      </c>
      <c r="AG37" s="130">
        <f t="shared" si="5"/>
        <v>11</v>
      </c>
      <c r="AH37" s="62"/>
      <c r="AI37" s="63"/>
      <c r="AJ37" s="130"/>
      <c r="AK37" s="130"/>
      <c r="AL37" s="62"/>
      <c r="AM37" s="63"/>
      <c r="AO37" s="73">
        <f t="shared" si="6"/>
        <v>3</v>
      </c>
      <c r="AP37" s="73">
        <f t="shared" si="7"/>
        <v>6</v>
      </c>
      <c r="AQ37" s="73">
        <f t="shared" si="8"/>
        <v>3</v>
      </c>
      <c r="AR37" s="73" t="str">
        <f t="shared" si="9"/>
        <v>Kevés v.</v>
      </c>
      <c r="AT37" s="273" t="str">
        <f t="shared" si="10"/>
        <v/>
      </c>
      <c r="AU37" s="273">
        <f t="shared" si="16"/>
        <v>6300</v>
      </c>
      <c r="AV37" s="273" t="str">
        <f t="shared" si="15"/>
        <v/>
      </c>
      <c r="AW37" s="273" t="str">
        <f t="shared" si="17"/>
        <v/>
      </c>
      <c r="AX37" s="274"/>
      <c r="AY37" s="313">
        <f t="shared" si="14"/>
        <v>6300</v>
      </c>
    </row>
    <row r="38" spans="1:51" x14ac:dyDescent="0.3">
      <c r="A38" s="68">
        <v>111</v>
      </c>
      <c r="B38" s="47" t="s">
        <v>329</v>
      </c>
      <c r="C38" s="249" t="s">
        <v>330</v>
      </c>
      <c r="D38" s="70" t="s">
        <v>9</v>
      </c>
      <c r="E38" s="69" t="s">
        <v>103</v>
      </c>
      <c r="F38" s="145">
        <v>3</v>
      </c>
      <c r="G38" s="66" t="s">
        <v>363</v>
      </c>
      <c r="H38" s="53">
        <v>9</v>
      </c>
      <c r="I38" s="52">
        <v>22625</v>
      </c>
      <c r="J38" s="182">
        <v>1</v>
      </c>
      <c r="K38" s="135"/>
      <c r="L38" s="127">
        <v>3</v>
      </c>
      <c r="M38" s="127">
        <v>6</v>
      </c>
      <c r="N38" s="127">
        <f t="shared" ref="N38:N69" si="18">IF($G38="",20,$J38)</f>
        <v>1</v>
      </c>
      <c r="O38" s="127"/>
      <c r="P38" s="127"/>
      <c r="Q38" s="127"/>
      <c r="R38" s="128">
        <f t="shared" ref="R38:R69" si="19">SUM(L38:Q38)</f>
        <v>10</v>
      </c>
      <c r="T38" s="285">
        <v>21545</v>
      </c>
      <c r="U38" s="285">
        <v>22825</v>
      </c>
      <c r="V38" s="285">
        <f t="shared" ref="V38:V69" si="20">IF($G38="",0,$I38)</f>
        <v>22625</v>
      </c>
      <c r="W38" s="287"/>
      <c r="X38" s="287"/>
      <c r="Y38" s="285"/>
      <c r="Z38" s="286">
        <f t="shared" ref="Z38:Z69" si="21">SUM(T38:Y38)</f>
        <v>66995</v>
      </c>
      <c r="AB38" s="62" t="s">
        <v>361</v>
      </c>
      <c r="AC38" s="130">
        <v>11</v>
      </c>
      <c r="AD38" s="62" t="s">
        <v>354</v>
      </c>
      <c r="AE38" s="130">
        <v>6</v>
      </c>
      <c r="AF38" s="62" t="str">
        <f t="shared" ref="AF38:AF69" si="22">IF($G38="","-",$G38)</f>
        <v>F</v>
      </c>
      <c r="AG38" s="130">
        <f t="shared" ref="AG38:AG69" si="23">IF($G38="","-",$H38)</f>
        <v>9</v>
      </c>
      <c r="AH38" s="62"/>
      <c r="AI38" s="63"/>
      <c r="AJ38" s="130"/>
      <c r="AK38" s="130"/>
      <c r="AL38" s="62"/>
      <c r="AM38" s="63"/>
      <c r="AO38" s="73">
        <f t="shared" ref="AO38:AO69" si="24">COUNTIFS(L38:Q38,"&lt;20")</f>
        <v>3</v>
      </c>
      <c r="AP38" s="73">
        <f t="shared" ref="AP38:AP69" si="25">SUMIF(L38:Q38,"&lt;20")</f>
        <v>10</v>
      </c>
      <c r="AQ38" s="73">
        <f t="shared" ref="AQ38:AQ69" si="26">MAX(L38:Q38)</f>
        <v>6</v>
      </c>
      <c r="AR38" s="73" t="str">
        <f t="shared" ref="AR38:AR69" si="27">IF(AO38&gt;4,L38+M38+N38+O38+P38+Q38-AQ38,IF(AO38&lt;5,"Kevés v."))</f>
        <v>Kevés v.</v>
      </c>
      <c r="AT38" s="273" t="str">
        <f t="shared" ref="AT38:AT69" si="28">IF(F38=2,IF(E38="felnőtt",8300,IF(E38="ifjúsági",6600,IF(E38="női",6600,IF(E38="gyermek",1000,"")))),"")</f>
        <v/>
      </c>
      <c r="AU38" s="273">
        <f t="shared" si="16"/>
        <v>6300</v>
      </c>
      <c r="AV38" s="273" t="str">
        <f t="shared" si="15"/>
        <v/>
      </c>
      <c r="AW38" s="273" t="str">
        <f t="shared" si="17"/>
        <v/>
      </c>
      <c r="AX38" s="274"/>
      <c r="AY38" s="313">
        <f t="shared" ref="AY38:AY69" si="29">SUM(AT38:AX38)</f>
        <v>6300</v>
      </c>
    </row>
    <row r="39" spans="1:51" x14ac:dyDescent="0.3">
      <c r="A39" s="68">
        <v>107</v>
      </c>
      <c r="B39" s="250" t="s">
        <v>325</v>
      </c>
      <c r="C39" s="141" t="s">
        <v>297</v>
      </c>
      <c r="D39" s="143" t="s">
        <v>9</v>
      </c>
      <c r="E39" s="142" t="s">
        <v>103</v>
      </c>
      <c r="F39" s="145">
        <v>3</v>
      </c>
      <c r="G39" s="66" t="s">
        <v>355</v>
      </c>
      <c r="H39" s="53">
        <v>6</v>
      </c>
      <c r="I39" s="52">
        <v>21300</v>
      </c>
      <c r="J39" s="182">
        <v>2</v>
      </c>
      <c r="K39" s="135"/>
      <c r="L39" s="127">
        <v>6</v>
      </c>
      <c r="M39" s="127">
        <v>5</v>
      </c>
      <c r="N39" s="127">
        <f t="shared" si="18"/>
        <v>2</v>
      </c>
      <c r="O39" s="127"/>
      <c r="P39" s="127"/>
      <c r="Q39" s="127"/>
      <c r="R39" s="128">
        <f t="shared" si="19"/>
        <v>13</v>
      </c>
      <c r="T39" s="285">
        <v>15000</v>
      </c>
      <c r="U39" s="285">
        <v>21625</v>
      </c>
      <c r="V39" s="285">
        <f t="shared" si="20"/>
        <v>21300</v>
      </c>
      <c r="W39" s="287"/>
      <c r="X39" s="287"/>
      <c r="Y39" s="285"/>
      <c r="Z39" s="286">
        <f t="shared" si="21"/>
        <v>57925</v>
      </c>
      <c r="AB39" s="62" t="s">
        <v>362</v>
      </c>
      <c r="AC39" s="130">
        <v>4</v>
      </c>
      <c r="AD39" s="62" t="s">
        <v>353</v>
      </c>
      <c r="AE39" s="130">
        <v>9</v>
      </c>
      <c r="AF39" s="62" t="str">
        <f t="shared" si="22"/>
        <v>E</v>
      </c>
      <c r="AG39" s="130">
        <f t="shared" si="23"/>
        <v>6</v>
      </c>
      <c r="AH39" s="62"/>
      <c r="AI39" s="63"/>
      <c r="AJ39" s="130"/>
      <c r="AK39" s="130"/>
      <c r="AL39" s="62"/>
      <c r="AM39" s="63"/>
      <c r="AO39" s="73">
        <f t="shared" si="24"/>
        <v>3</v>
      </c>
      <c r="AP39" s="73">
        <f t="shared" si="25"/>
        <v>13</v>
      </c>
      <c r="AQ39" s="73">
        <f t="shared" si="26"/>
        <v>6</v>
      </c>
      <c r="AR39" s="73" t="str">
        <f t="shared" si="27"/>
        <v>Kevés v.</v>
      </c>
      <c r="AT39" s="273" t="str">
        <f t="shared" si="28"/>
        <v/>
      </c>
      <c r="AU39" s="273">
        <f t="shared" si="16"/>
        <v>6300</v>
      </c>
      <c r="AV39" s="273" t="str">
        <f t="shared" si="15"/>
        <v/>
      </c>
      <c r="AW39" s="273" t="str">
        <f t="shared" si="17"/>
        <v/>
      </c>
      <c r="AX39" s="274"/>
      <c r="AY39" s="313">
        <f t="shared" si="29"/>
        <v>6300</v>
      </c>
    </row>
    <row r="40" spans="1:51" x14ac:dyDescent="0.3">
      <c r="A40" s="68">
        <v>84</v>
      </c>
      <c r="B40" s="141" t="s">
        <v>290</v>
      </c>
      <c r="C40" s="141" t="s">
        <v>105</v>
      </c>
      <c r="D40" s="143" t="s">
        <v>9</v>
      </c>
      <c r="E40" s="142" t="s">
        <v>103</v>
      </c>
      <c r="F40" s="145">
        <v>3</v>
      </c>
      <c r="G40" s="66" t="s">
        <v>355</v>
      </c>
      <c r="H40" s="53">
        <v>8</v>
      </c>
      <c r="I40" s="52">
        <v>16625</v>
      </c>
      <c r="J40" s="182">
        <v>3</v>
      </c>
      <c r="K40" s="135"/>
      <c r="L40" s="127">
        <v>1</v>
      </c>
      <c r="M40" s="127">
        <v>1</v>
      </c>
      <c r="N40" s="127">
        <f t="shared" si="18"/>
        <v>3</v>
      </c>
      <c r="O40" s="127"/>
      <c r="P40" s="127"/>
      <c r="Q40" s="127"/>
      <c r="R40" s="128">
        <f t="shared" si="19"/>
        <v>5</v>
      </c>
      <c r="T40" s="285">
        <v>22775</v>
      </c>
      <c r="U40" s="285">
        <v>28625</v>
      </c>
      <c r="V40" s="285">
        <f t="shared" si="20"/>
        <v>16625</v>
      </c>
      <c r="W40" s="287"/>
      <c r="X40" s="287"/>
      <c r="Y40" s="285"/>
      <c r="Z40" s="286">
        <f t="shared" si="21"/>
        <v>68025</v>
      </c>
      <c r="AB40" s="62" t="s">
        <v>358</v>
      </c>
      <c r="AC40" s="130">
        <v>7</v>
      </c>
      <c r="AD40" s="62" t="s">
        <v>353</v>
      </c>
      <c r="AE40" s="130">
        <v>8</v>
      </c>
      <c r="AF40" s="62" t="str">
        <f t="shared" si="22"/>
        <v>E</v>
      </c>
      <c r="AG40" s="130">
        <f t="shared" si="23"/>
        <v>8</v>
      </c>
      <c r="AH40" s="62"/>
      <c r="AI40" s="63"/>
      <c r="AJ40" s="130"/>
      <c r="AK40" s="130"/>
      <c r="AL40" s="62"/>
      <c r="AM40" s="63"/>
      <c r="AO40" s="73">
        <f t="shared" si="24"/>
        <v>3</v>
      </c>
      <c r="AP40" s="73">
        <f t="shared" si="25"/>
        <v>5</v>
      </c>
      <c r="AQ40" s="73">
        <f t="shared" si="26"/>
        <v>3</v>
      </c>
      <c r="AR40" s="73" t="str">
        <f t="shared" si="27"/>
        <v>Kevés v.</v>
      </c>
      <c r="AT40" s="273" t="str">
        <f t="shared" si="28"/>
        <v/>
      </c>
      <c r="AU40" s="273">
        <f t="shared" si="16"/>
        <v>6300</v>
      </c>
      <c r="AV40" s="273" t="str">
        <f t="shared" si="15"/>
        <v/>
      </c>
      <c r="AW40" s="273" t="str">
        <f t="shared" si="17"/>
        <v/>
      </c>
      <c r="AX40" s="274"/>
      <c r="AY40" s="313">
        <f t="shared" si="29"/>
        <v>6300</v>
      </c>
    </row>
    <row r="41" spans="1:51" x14ac:dyDescent="0.3">
      <c r="A41" s="68">
        <v>54</v>
      </c>
      <c r="B41" s="250" t="s">
        <v>241</v>
      </c>
      <c r="C41" s="250" t="s">
        <v>216</v>
      </c>
      <c r="D41" s="143" t="s">
        <v>9</v>
      </c>
      <c r="E41" s="142" t="s">
        <v>11</v>
      </c>
      <c r="F41" s="145">
        <v>3</v>
      </c>
      <c r="G41" s="66" t="s">
        <v>363</v>
      </c>
      <c r="H41" s="53">
        <v>12</v>
      </c>
      <c r="I41" s="52">
        <v>16525</v>
      </c>
      <c r="J41" s="182">
        <v>2</v>
      </c>
      <c r="K41" s="135"/>
      <c r="L41" s="127">
        <v>2</v>
      </c>
      <c r="M41" s="127">
        <v>2</v>
      </c>
      <c r="N41" s="127">
        <f>IF($G41="",20,$J41)</f>
        <v>2</v>
      </c>
      <c r="O41" s="127"/>
      <c r="P41" s="127"/>
      <c r="Q41" s="127"/>
      <c r="R41" s="128">
        <f>SUM(L41:Q41)</f>
        <v>6</v>
      </c>
      <c r="T41" s="285">
        <v>20450</v>
      </c>
      <c r="U41" s="285">
        <v>17800</v>
      </c>
      <c r="V41" s="285">
        <f>IF($G41="",0,$I41)</f>
        <v>16525</v>
      </c>
      <c r="W41" s="287"/>
      <c r="X41" s="287"/>
      <c r="Y41" s="285"/>
      <c r="Z41" s="286">
        <f>SUM(T41:Y41)</f>
        <v>54775</v>
      </c>
      <c r="AB41" s="62" t="s">
        <v>362</v>
      </c>
      <c r="AC41" s="130">
        <v>8</v>
      </c>
      <c r="AD41" s="62" t="s">
        <v>357</v>
      </c>
      <c r="AE41" s="130">
        <v>11</v>
      </c>
      <c r="AF41" s="62" t="str">
        <f>IF($G41="","-",$G41)</f>
        <v>F</v>
      </c>
      <c r="AG41" s="130">
        <f>IF($G41="","-",$H41)</f>
        <v>12</v>
      </c>
      <c r="AH41" s="62"/>
      <c r="AI41" s="63"/>
      <c r="AJ41" s="130"/>
      <c r="AK41" s="130"/>
      <c r="AL41" s="62"/>
      <c r="AM41" s="63"/>
      <c r="AO41" s="73">
        <f>COUNTIFS(L41:Q41,"&lt;20")</f>
        <v>3</v>
      </c>
      <c r="AP41" s="73">
        <f>SUMIF(L41:Q41,"&lt;20")</f>
        <v>6</v>
      </c>
      <c r="AQ41" s="73">
        <f>MAX(L41:Q41)</f>
        <v>2</v>
      </c>
      <c r="AR41" s="73" t="str">
        <f>IF(AO41&gt;4,L41+M41+N41+O41+P41+Q41-AQ41,IF(AO41&lt;5,"Kevés v."))</f>
        <v>Kevés v.</v>
      </c>
      <c r="AT41" s="273" t="str">
        <f>IF(F41=2,IF(E41="felnőtt",8300,IF(E41="ifjúsági",6600,IF(E41="női",6600,IF(E41="gyermek",1000,"")))),"")</f>
        <v/>
      </c>
      <c r="AU41" s="273">
        <f>IF(F41=3,IF(E41="felnőtt",6300,IF(E41="ifjúsági",4600,IF(E41="női",4600,IF(E41="gyermek",0,"")))),"")</f>
        <v>4600</v>
      </c>
      <c r="AV41" s="273" t="str">
        <f>IF(F41=6,IF(E41="felnőtt",41500,IF(E41="ifjúsági",33000,IF(E41="női",33000,IF(E41="gyermek",5000,"")))),"")</f>
        <v/>
      </c>
      <c r="AW41" s="273" t="str">
        <f>IF(F41=7,IF(E41="felnőtt",31500,IF(E41="ifjúsági",23000,IF(E41="női",23000,IF(E41="gyermek",0,"")))),"")</f>
        <v/>
      </c>
      <c r="AX41" s="274"/>
      <c r="AY41" s="313">
        <f>SUM(AT41:AX41)</f>
        <v>4600</v>
      </c>
    </row>
    <row r="42" spans="1:51" x14ac:dyDescent="0.3">
      <c r="A42" s="68">
        <v>34</v>
      </c>
      <c r="B42" s="250" t="s">
        <v>179</v>
      </c>
      <c r="C42" s="250" t="s">
        <v>180</v>
      </c>
      <c r="D42" s="70" t="s">
        <v>9</v>
      </c>
      <c r="E42" s="142" t="s">
        <v>103</v>
      </c>
      <c r="F42" s="145"/>
      <c r="G42" s="66" t="s">
        <v>355</v>
      </c>
      <c r="H42" s="53">
        <v>3</v>
      </c>
      <c r="I42" s="52">
        <v>14375</v>
      </c>
      <c r="J42" s="182">
        <v>4</v>
      </c>
      <c r="K42" s="135"/>
      <c r="L42" s="127">
        <v>12</v>
      </c>
      <c r="M42" s="127">
        <v>2</v>
      </c>
      <c r="N42" s="127">
        <f>IF($G42="",20,$J42)</f>
        <v>4</v>
      </c>
      <c r="O42" s="127"/>
      <c r="P42" s="127"/>
      <c r="Q42" s="127"/>
      <c r="R42" s="128">
        <f>SUM(L42:Q42)</f>
        <v>18</v>
      </c>
      <c r="T42" s="285">
        <v>9200</v>
      </c>
      <c r="U42" s="285">
        <v>25875</v>
      </c>
      <c r="V42" s="285">
        <f>IF($G42="",0,$I42)</f>
        <v>14375</v>
      </c>
      <c r="W42" s="287"/>
      <c r="X42" s="287"/>
      <c r="Y42" s="285"/>
      <c r="Z42" s="286">
        <f>SUM(T42:Y42)</f>
        <v>49450</v>
      </c>
      <c r="AB42" s="62" t="s">
        <v>361</v>
      </c>
      <c r="AC42" s="130">
        <v>5</v>
      </c>
      <c r="AD42" s="62" t="s">
        <v>353</v>
      </c>
      <c r="AE42" s="130">
        <v>1</v>
      </c>
      <c r="AF42" s="62" t="str">
        <f>IF($G42="","-",$G42)</f>
        <v>E</v>
      </c>
      <c r="AG42" s="130">
        <f>IF($G42="","-",$H42)</f>
        <v>3</v>
      </c>
      <c r="AH42" s="62"/>
      <c r="AI42" s="63"/>
      <c r="AJ42" s="130"/>
      <c r="AK42" s="130"/>
      <c r="AL42" s="62"/>
      <c r="AM42" s="63"/>
      <c r="AO42" s="73">
        <f>COUNTIFS(L42:Q42,"&lt;20")</f>
        <v>3</v>
      </c>
      <c r="AP42" s="73">
        <f>SUMIF(L42:Q42,"&lt;20")</f>
        <v>18</v>
      </c>
      <c r="AQ42" s="73">
        <f>MAX(L42:Q42)</f>
        <v>12</v>
      </c>
      <c r="AR42" s="73" t="str">
        <f>IF(AO42&gt;4,L42+M42+N42+O42+P42+Q42-AQ42,IF(AO42&lt;5,"Kevés v."))</f>
        <v>Kevés v.</v>
      </c>
      <c r="AT42" s="273" t="str">
        <f>IF(F42=2,IF(E42="felnőtt",8300,IF(E42="ifjúsági",6600,IF(E42="női",6600,IF(E42="gyermek",1000,"")))),"")</f>
        <v/>
      </c>
      <c r="AU42" s="273" t="str">
        <f>IF(F42=3,IF(E42="felnőtt",6300,IF(E42="ifjúsági",4600,IF(E42="női",4600,IF(E42="gyermek",0,"")))),"")</f>
        <v/>
      </c>
      <c r="AV42" s="273" t="str">
        <f>IF(F42=6,IF(E42="felnőtt",41500,IF(E42="ifjúsági",33000,IF(E42="női",33000,IF(E42="gyermek",5000,"")))),"")</f>
        <v/>
      </c>
      <c r="AW42" s="273" t="s">
        <v>365</v>
      </c>
      <c r="AX42" s="274"/>
      <c r="AY42" s="313">
        <f>SUM(AT42:AX42)</f>
        <v>0</v>
      </c>
    </row>
    <row r="43" spans="1:51" x14ac:dyDescent="0.3">
      <c r="A43" s="68">
        <v>115</v>
      </c>
      <c r="B43" s="47" t="s">
        <v>334</v>
      </c>
      <c r="C43" s="47" t="s">
        <v>335</v>
      </c>
      <c r="D43" s="143" t="s">
        <v>9</v>
      </c>
      <c r="E43" s="69" t="s">
        <v>103</v>
      </c>
      <c r="F43" s="145">
        <v>3</v>
      </c>
      <c r="G43" s="66" t="s">
        <v>363</v>
      </c>
      <c r="H43" s="53">
        <v>7</v>
      </c>
      <c r="I43" s="52">
        <v>13000</v>
      </c>
      <c r="J43" s="182">
        <v>3</v>
      </c>
      <c r="K43" s="135"/>
      <c r="L43" s="127">
        <v>5</v>
      </c>
      <c r="M43" s="127">
        <v>4</v>
      </c>
      <c r="N43" s="127">
        <f>IF($G43="",20,$J43)</f>
        <v>3</v>
      </c>
      <c r="O43" s="127"/>
      <c r="P43" s="127"/>
      <c r="Q43" s="127"/>
      <c r="R43" s="128">
        <f>SUM(L43:Q43)</f>
        <v>12</v>
      </c>
      <c r="T43" s="285">
        <v>15075</v>
      </c>
      <c r="U43" s="285">
        <v>15650</v>
      </c>
      <c r="V43" s="285">
        <f>IF($G43="",0,$I43)</f>
        <v>13000</v>
      </c>
      <c r="W43" s="287"/>
      <c r="X43" s="287"/>
      <c r="Y43" s="285"/>
      <c r="Z43" s="286">
        <f>SUM(T43:Y43)</f>
        <v>43725</v>
      </c>
      <c r="AB43" s="62" t="s">
        <v>362</v>
      </c>
      <c r="AC43" s="130">
        <v>9</v>
      </c>
      <c r="AD43" s="62" t="s">
        <v>357</v>
      </c>
      <c r="AE43" s="130">
        <v>6</v>
      </c>
      <c r="AF43" s="62" t="str">
        <f>IF($G43="","-",$G43)</f>
        <v>F</v>
      </c>
      <c r="AG43" s="130">
        <f>IF($G43="","-",$H43)</f>
        <v>7</v>
      </c>
      <c r="AH43" s="62"/>
      <c r="AI43" s="63"/>
      <c r="AJ43" s="130"/>
      <c r="AK43" s="130"/>
      <c r="AL43" s="62"/>
      <c r="AM43" s="63"/>
      <c r="AO43" s="73">
        <f>COUNTIFS(L43:Q43,"&lt;20")</f>
        <v>3</v>
      </c>
      <c r="AP43" s="73">
        <f>SUMIF(L43:Q43,"&lt;20")</f>
        <v>12</v>
      </c>
      <c r="AQ43" s="73">
        <f>MAX(L43:Q43)</f>
        <v>5</v>
      </c>
      <c r="AR43" s="73" t="str">
        <f>IF(AO43&gt;4,L43+M43+N43+O43+P43+Q43-AQ43,IF(AO43&lt;5,"Kevés v."))</f>
        <v>Kevés v.</v>
      </c>
      <c r="AT43" s="273" t="str">
        <f>IF(F43=2,IF(E43="felnőtt",8300,IF(E43="ifjúsági",6600,IF(E43="női",6600,IF(E43="gyermek",1000,"")))),"")</f>
        <v/>
      </c>
      <c r="AU43" s="273">
        <f>IF(F43=3,IF(E43="felnőtt",6300,IF(E43="ifjúsági",4600,IF(E43="női",4600,IF(E43="gyermek",0,"")))),"")</f>
        <v>6300</v>
      </c>
      <c r="AV43" s="273" t="str">
        <f>IF(F43=6,IF(E43="felnőtt",41500,IF(E43="ifjúsági",33000,IF(E43="női",33000,IF(E43="gyermek",5000,"")))),"")</f>
        <v/>
      </c>
      <c r="AW43" s="273" t="str">
        <f>IF(F43=7,IF(E43="felnőtt",31500,IF(E43="ifjúsági",23000,IF(E43="női",23000,IF(E43="gyermek",0,"")))),"")</f>
        <v/>
      </c>
      <c r="AX43" s="274"/>
      <c r="AY43" s="313">
        <f>SUM(AT43:AX43)</f>
        <v>6300</v>
      </c>
    </row>
    <row r="44" spans="1:51" x14ac:dyDescent="0.3">
      <c r="A44" s="68">
        <v>108</v>
      </c>
      <c r="B44" s="141" t="s">
        <v>326</v>
      </c>
      <c r="C44" s="141" t="s">
        <v>297</v>
      </c>
      <c r="D44" s="143" t="s">
        <v>9</v>
      </c>
      <c r="E44" s="142" t="s">
        <v>103</v>
      </c>
      <c r="F44" s="145">
        <v>3</v>
      </c>
      <c r="G44" s="66" t="s">
        <v>363</v>
      </c>
      <c r="H44" s="53">
        <v>1</v>
      </c>
      <c r="I44" s="52">
        <v>12600</v>
      </c>
      <c r="J44" s="182">
        <v>4</v>
      </c>
      <c r="K44" s="135"/>
      <c r="L44" s="127">
        <v>1</v>
      </c>
      <c r="M44" s="127">
        <v>7</v>
      </c>
      <c r="N44" s="127">
        <f>IF($G44="",20,$J44)</f>
        <v>4</v>
      </c>
      <c r="O44" s="127"/>
      <c r="P44" s="127"/>
      <c r="Q44" s="127"/>
      <c r="R44" s="128">
        <f>SUM(L44:Q44)</f>
        <v>12</v>
      </c>
      <c r="T44" s="285">
        <v>21925</v>
      </c>
      <c r="U44" s="285">
        <v>15200</v>
      </c>
      <c r="V44" s="285">
        <f>IF($G44="",0,$I44)</f>
        <v>12600</v>
      </c>
      <c r="W44" s="287"/>
      <c r="X44" s="287"/>
      <c r="Y44" s="285"/>
      <c r="Z44" s="286">
        <f>SUM(T44:Y44)</f>
        <v>49725</v>
      </c>
      <c r="AB44" s="62" t="s">
        <v>361</v>
      </c>
      <c r="AC44" s="130">
        <v>3</v>
      </c>
      <c r="AD44" s="62" t="s">
        <v>357</v>
      </c>
      <c r="AE44" s="130">
        <v>10</v>
      </c>
      <c r="AF44" s="62" t="str">
        <f>IF($G44="","-",$G44)</f>
        <v>F</v>
      </c>
      <c r="AG44" s="130">
        <f>IF($G44="","-",$H44)</f>
        <v>1</v>
      </c>
      <c r="AH44" s="62"/>
      <c r="AI44" s="63"/>
      <c r="AJ44" s="130"/>
      <c r="AK44" s="130"/>
      <c r="AL44" s="62"/>
      <c r="AM44" s="63"/>
      <c r="AO44" s="73">
        <f>COUNTIFS(L44:Q44,"&lt;20")</f>
        <v>3</v>
      </c>
      <c r="AP44" s="73">
        <f>SUMIF(L44:Q44,"&lt;20")</f>
        <v>12</v>
      </c>
      <c r="AQ44" s="73">
        <f>MAX(L44:Q44)</f>
        <v>7</v>
      </c>
      <c r="AR44" s="73" t="str">
        <f>IF(AO44&gt;4,L44+M44+N44+O44+P44+Q44-AQ44,IF(AO44&lt;5,"Kevés v."))</f>
        <v>Kevés v.</v>
      </c>
      <c r="AT44" s="273" t="str">
        <f>IF(F44=2,IF(E44="felnőtt",8300,IF(E44="ifjúsági",6600,IF(E44="női",6600,IF(E44="gyermek",1000,"")))),"")</f>
        <v/>
      </c>
      <c r="AU44" s="273">
        <f>IF(F44=3,IF(E44="felnőtt",6300,IF(E44="ifjúsági",4600,IF(E44="női",4600,IF(E44="gyermek",0,"")))),"")</f>
        <v>6300</v>
      </c>
      <c r="AV44" s="273" t="str">
        <f>IF(F44=6,IF(E44="felnőtt",41500,IF(E44="ifjúsági",33000,IF(E44="női",33000,IF(E44="gyermek",5000,"")))),"")</f>
        <v/>
      </c>
      <c r="AW44" s="273" t="str">
        <f>IF(F44=7,IF(E44="felnőtt",31500,IF(E44="ifjúsági",23000,IF(E44="női",23000,IF(E44="gyermek",0,"")))),"")</f>
        <v/>
      </c>
      <c r="AX44" s="274"/>
      <c r="AY44" s="313">
        <f>SUM(AT44:AX44)</f>
        <v>6300</v>
      </c>
    </row>
    <row r="45" spans="1:51" x14ac:dyDescent="0.3">
      <c r="A45" s="68">
        <v>106</v>
      </c>
      <c r="B45" s="141" t="s">
        <v>324</v>
      </c>
      <c r="C45" s="250" t="s">
        <v>297</v>
      </c>
      <c r="D45" s="143" t="s">
        <v>9</v>
      </c>
      <c r="E45" s="142" t="s">
        <v>103</v>
      </c>
      <c r="F45" s="145">
        <v>3</v>
      </c>
      <c r="G45" s="66" t="s">
        <v>363</v>
      </c>
      <c r="H45" s="53">
        <v>3</v>
      </c>
      <c r="I45" s="52">
        <v>11550</v>
      </c>
      <c r="J45" s="182">
        <v>5</v>
      </c>
      <c r="K45" s="135"/>
      <c r="L45" s="127">
        <v>5</v>
      </c>
      <c r="M45" s="127">
        <v>1</v>
      </c>
      <c r="N45" s="127">
        <f>IF($G45="",20,$J45)</f>
        <v>5</v>
      </c>
      <c r="O45" s="127"/>
      <c r="P45" s="127"/>
      <c r="Q45" s="127"/>
      <c r="R45" s="128">
        <f>SUM(L45:Q45)</f>
        <v>11</v>
      </c>
      <c r="T45" s="285">
        <v>17075</v>
      </c>
      <c r="U45" s="285">
        <v>31450</v>
      </c>
      <c r="V45" s="285">
        <f>IF($G45="",0,$I45)</f>
        <v>11550</v>
      </c>
      <c r="W45" s="287"/>
      <c r="X45" s="287"/>
      <c r="Y45" s="285"/>
      <c r="Z45" s="286">
        <f>SUM(T45:Y45)</f>
        <v>60075</v>
      </c>
      <c r="AB45" s="62" t="s">
        <v>358</v>
      </c>
      <c r="AC45" s="130">
        <v>9</v>
      </c>
      <c r="AD45" s="62" t="s">
        <v>354</v>
      </c>
      <c r="AE45" s="130">
        <v>1</v>
      </c>
      <c r="AF45" s="62" t="str">
        <f>IF($G45="","-",$G45)</f>
        <v>F</v>
      </c>
      <c r="AG45" s="130">
        <f>IF($G45="","-",$H45)</f>
        <v>3</v>
      </c>
      <c r="AH45" s="62"/>
      <c r="AI45" s="63"/>
      <c r="AJ45" s="130"/>
      <c r="AK45" s="130"/>
      <c r="AL45" s="62"/>
      <c r="AM45" s="63"/>
      <c r="AO45" s="73">
        <f>COUNTIFS(L45:Q45,"&lt;20")</f>
        <v>3</v>
      </c>
      <c r="AP45" s="73">
        <f>SUMIF(L45:Q45,"&lt;20")</f>
        <v>11</v>
      </c>
      <c r="AQ45" s="73">
        <f>MAX(L45:Q45)</f>
        <v>5</v>
      </c>
      <c r="AR45" s="73" t="str">
        <f>IF(AO45&gt;4,L45+M45+N45+O45+P45+Q45-AQ45,IF(AO45&lt;5,"Kevés v."))</f>
        <v>Kevés v.</v>
      </c>
      <c r="AT45" s="273" t="str">
        <f>IF(F45=2,IF(E45="felnőtt",8300,IF(E45="ifjúsági",6600,IF(E45="női",6600,IF(E45="gyermek",1000,"")))),"")</f>
        <v/>
      </c>
      <c r="AU45" s="273">
        <f>IF(F45=3,IF(E45="felnőtt",6300,IF(E45="ifjúsági",4600,IF(E45="női",4600,IF(E45="gyermek",0,"")))),"")</f>
        <v>6300</v>
      </c>
      <c r="AV45" s="273" t="str">
        <f>IF(F45=6,IF(E45="felnőtt",41500,IF(E45="ifjúsági",33000,IF(E45="női",33000,IF(E45="gyermek",5000,"")))),"")</f>
        <v/>
      </c>
      <c r="AW45" s="273" t="str">
        <f>IF(F45=7,IF(E45="felnőtt",31500,IF(E45="ifjúsági",23000,IF(E45="női",23000,IF(E45="gyermek",0,"")))),"")</f>
        <v/>
      </c>
      <c r="AX45" s="274"/>
      <c r="AY45" s="313">
        <f>SUM(AT45:AX45)</f>
        <v>6300</v>
      </c>
    </row>
    <row r="46" spans="1:51" x14ac:dyDescent="0.3">
      <c r="A46" s="68">
        <v>31</v>
      </c>
      <c r="B46" s="141" t="s">
        <v>175</v>
      </c>
      <c r="C46" s="141" t="s">
        <v>105</v>
      </c>
      <c r="D46" s="143" t="s">
        <v>9</v>
      </c>
      <c r="E46" s="142" t="s">
        <v>103</v>
      </c>
      <c r="F46" s="145"/>
      <c r="G46" s="66" t="s">
        <v>355</v>
      </c>
      <c r="H46" s="53">
        <v>9</v>
      </c>
      <c r="I46" s="52">
        <v>10725</v>
      </c>
      <c r="J46" s="182">
        <v>5</v>
      </c>
      <c r="K46" s="135"/>
      <c r="L46" s="127">
        <v>6</v>
      </c>
      <c r="M46" s="127">
        <v>8</v>
      </c>
      <c r="N46" s="127">
        <f>IF($G46="",20,$J46)</f>
        <v>5</v>
      </c>
      <c r="O46" s="127"/>
      <c r="P46" s="127"/>
      <c r="Q46" s="127"/>
      <c r="R46" s="128">
        <f>SUM(L46:Q46)</f>
        <v>19</v>
      </c>
      <c r="T46" s="285">
        <v>14575</v>
      </c>
      <c r="U46" s="285">
        <v>19400</v>
      </c>
      <c r="V46" s="285">
        <f>IF($G46="",0,$I46)</f>
        <v>10725</v>
      </c>
      <c r="W46" s="287"/>
      <c r="X46" s="287"/>
      <c r="Y46" s="285"/>
      <c r="Z46" s="286">
        <f>SUM(T46:Y46)</f>
        <v>44700</v>
      </c>
      <c r="AB46" s="62" t="s">
        <v>358</v>
      </c>
      <c r="AC46" s="130">
        <v>3</v>
      </c>
      <c r="AD46" s="62" t="s">
        <v>354</v>
      </c>
      <c r="AE46" s="130">
        <v>12</v>
      </c>
      <c r="AF46" s="62" t="str">
        <f>IF($G46="","-",$G46)</f>
        <v>E</v>
      </c>
      <c r="AG46" s="130">
        <f>IF($G46="","-",$H46)</f>
        <v>9</v>
      </c>
      <c r="AH46" s="62"/>
      <c r="AI46" s="63"/>
      <c r="AJ46" s="130"/>
      <c r="AK46" s="130"/>
      <c r="AL46" s="62"/>
      <c r="AM46" s="63"/>
      <c r="AO46" s="73">
        <f>COUNTIFS(L46:Q46,"&lt;20")</f>
        <v>3</v>
      </c>
      <c r="AP46" s="73">
        <f>SUMIF(L46:Q46,"&lt;20")</f>
        <v>19</v>
      </c>
      <c r="AQ46" s="73">
        <f>MAX(L46:Q46)</f>
        <v>8</v>
      </c>
      <c r="AR46" s="73" t="str">
        <f>IF(AO46&gt;4,L46+M46+N46+O46+P46+Q46-AQ46,IF(AO46&lt;5,"Kevés v."))</f>
        <v>Kevés v.</v>
      </c>
      <c r="AT46" s="273" t="str">
        <f>IF(F46=2,IF(E46="felnőtt",8300,IF(E46="ifjúsági",6600,IF(E46="női",6600,IF(E46="gyermek",1000,"")))),"")</f>
        <v/>
      </c>
      <c r="AU46" s="273" t="str">
        <f>IF(F46=3,IF(E46="felnőtt",6300,IF(E46="ifjúsági",4600,IF(E46="női",4600,IF(E46="gyermek",0,"")))),"")</f>
        <v/>
      </c>
      <c r="AV46" s="273" t="str">
        <f>IF(F46=6,IF(E46="felnőtt",41500,IF(E46="ifjúsági",33000,IF(E46="női",33000,IF(E46="gyermek",5000,"")))),"")</f>
        <v/>
      </c>
      <c r="AW46" s="273" t="s">
        <v>365</v>
      </c>
      <c r="AX46" s="274"/>
      <c r="AY46" s="313">
        <f>SUM(AT46:AX46)</f>
        <v>0</v>
      </c>
    </row>
    <row r="47" spans="1:51" x14ac:dyDescent="0.3">
      <c r="A47" s="68">
        <v>52</v>
      </c>
      <c r="B47" s="250" t="s">
        <v>239</v>
      </c>
      <c r="C47" s="141" t="s">
        <v>166</v>
      </c>
      <c r="D47" s="143" t="s">
        <v>9</v>
      </c>
      <c r="E47" s="142" t="s">
        <v>103</v>
      </c>
      <c r="F47" s="145">
        <v>3</v>
      </c>
      <c r="G47" s="66" t="s">
        <v>363</v>
      </c>
      <c r="H47" s="53">
        <v>10</v>
      </c>
      <c r="I47" s="52">
        <v>10250</v>
      </c>
      <c r="J47" s="182">
        <v>6</v>
      </c>
      <c r="K47" s="135"/>
      <c r="L47" s="127">
        <v>11</v>
      </c>
      <c r="M47" s="127">
        <v>7</v>
      </c>
      <c r="N47" s="127">
        <f>IF($G47="",20,$J47)</f>
        <v>6</v>
      </c>
      <c r="O47" s="127"/>
      <c r="P47" s="127"/>
      <c r="Q47" s="127"/>
      <c r="R47" s="128">
        <f>SUM(L47:Q47)</f>
        <v>24</v>
      </c>
      <c r="T47" s="285">
        <v>9725</v>
      </c>
      <c r="U47" s="285">
        <v>19135</v>
      </c>
      <c r="V47" s="285">
        <f>IF($G47="",0,$I47)</f>
        <v>10250</v>
      </c>
      <c r="W47" s="287"/>
      <c r="X47" s="287"/>
      <c r="Y47" s="285"/>
      <c r="Z47" s="286">
        <f>SUM(T47:Y47)</f>
        <v>39110</v>
      </c>
      <c r="AB47" s="62" t="s">
        <v>362</v>
      </c>
      <c r="AC47" s="130">
        <v>5</v>
      </c>
      <c r="AD47" s="62" t="s">
        <v>353</v>
      </c>
      <c r="AE47" s="130">
        <v>11</v>
      </c>
      <c r="AF47" s="62" t="str">
        <f>IF($G47="","-",$G47)</f>
        <v>F</v>
      </c>
      <c r="AG47" s="130">
        <f>IF($G47="","-",$H47)</f>
        <v>10</v>
      </c>
      <c r="AH47" s="62"/>
      <c r="AI47" s="63"/>
      <c r="AJ47" s="130"/>
      <c r="AK47" s="130"/>
      <c r="AL47" s="62"/>
      <c r="AM47" s="63"/>
      <c r="AO47" s="73">
        <f>COUNTIFS(L47:Q47,"&lt;20")</f>
        <v>3</v>
      </c>
      <c r="AP47" s="73">
        <f>SUMIF(L47:Q47,"&lt;20")</f>
        <v>24</v>
      </c>
      <c r="AQ47" s="73">
        <f>MAX(L47:Q47)</f>
        <v>11</v>
      </c>
      <c r="AR47" s="73" t="str">
        <f>IF(AO47&gt;4,L47+M47+N47+O47+P47+Q47-AQ47,IF(AO47&lt;5,"Kevés v."))</f>
        <v>Kevés v.</v>
      </c>
      <c r="AT47" s="273" t="str">
        <f>IF(F47=2,IF(E47="felnőtt",8300,IF(E47="ifjúsági",6600,IF(E47="női",6600,IF(E47="gyermek",1000,"")))),"")</f>
        <v/>
      </c>
      <c r="AU47" s="273">
        <f>IF(F47=3,IF(E47="felnőtt",6300,IF(E47="ifjúsági",4600,IF(E47="női",4600,IF(E47="gyermek",0,"")))),"")</f>
        <v>6300</v>
      </c>
      <c r="AV47" s="273" t="str">
        <f>IF(F47=6,IF(E47="felnőtt",41500,IF(E47="ifjúsági",33000,IF(E47="női",33000,IF(E47="gyermek",5000,"")))),"")</f>
        <v/>
      </c>
      <c r="AW47" s="273" t="str">
        <f>IF(F47=7,IF(E47="felnőtt",31500,IF(E47="ifjúsági",23000,IF(E47="női",23000,IF(E47="gyermek",0,"")))),"")</f>
        <v/>
      </c>
      <c r="AX47" s="274"/>
      <c r="AY47" s="313">
        <f>SUM(AT47:AX47)</f>
        <v>6300</v>
      </c>
    </row>
    <row r="48" spans="1:51" x14ac:dyDescent="0.3">
      <c r="A48" s="68">
        <v>157</v>
      </c>
      <c r="B48" s="141" t="s">
        <v>428</v>
      </c>
      <c r="C48" s="250" t="s">
        <v>429</v>
      </c>
      <c r="D48" s="143" t="s">
        <v>9</v>
      </c>
      <c r="E48" s="142" t="s">
        <v>103</v>
      </c>
      <c r="F48" s="145">
        <v>3</v>
      </c>
      <c r="G48" s="66" t="s">
        <v>355</v>
      </c>
      <c r="H48" s="53">
        <v>1</v>
      </c>
      <c r="I48" s="52">
        <v>9950</v>
      </c>
      <c r="J48" s="182">
        <v>6</v>
      </c>
      <c r="K48" s="135"/>
      <c r="L48" s="127">
        <v>20</v>
      </c>
      <c r="M48" s="127">
        <v>20</v>
      </c>
      <c r="N48" s="127">
        <f>IF($G48="",20,$J48)</f>
        <v>6</v>
      </c>
      <c r="O48" s="127"/>
      <c r="P48" s="127"/>
      <c r="Q48" s="127"/>
      <c r="R48" s="128">
        <f>SUM(L48:Q48)</f>
        <v>46</v>
      </c>
      <c r="T48" s="285">
        <v>0</v>
      </c>
      <c r="U48" s="285">
        <v>0</v>
      </c>
      <c r="V48" s="285">
        <f>IF($G48="",0,$I48)</f>
        <v>9950</v>
      </c>
      <c r="W48" s="287"/>
      <c r="X48" s="287"/>
      <c r="Y48" s="285"/>
      <c r="Z48" s="286">
        <f>SUM(T48:Y48)</f>
        <v>9950</v>
      </c>
      <c r="AB48" s="62" t="s">
        <v>185</v>
      </c>
      <c r="AC48" s="130" t="s">
        <v>185</v>
      </c>
      <c r="AD48" s="62" t="s">
        <v>185</v>
      </c>
      <c r="AE48" s="130" t="s">
        <v>185</v>
      </c>
      <c r="AF48" s="62" t="str">
        <f>IF($G48="","-",$G48)</f>
        <v>E</v>
      </c>
      <c r="AG48" s="130">
        <f>IF($G48="","-",$H48)</f>
        <v>1</v>
      </c>
      <c r="AH48" s="62"/>
      <c r="AI48" s="63"/>
      <c r="AJ48" s="130"/>
      <c r="AK48" s="130"/>
      <c r="AL48" s="62"/>
      <c r="AM48" s="63"/>
      <c r="AO48" s="73">
        <f>COUNTIFS(L48:Q48,"&lt;20")</f>
        <v>1</v>
      </c>
      <c r="AP48" s="73">
        <f>SUMIF(L48:Q48,"&lt;20")</f>
        <v>6</v>
      </c>
      <c r="AQ48" s="73">
        <f>MAX(L48:Q48)</f>
        <v>20</v>
      </c>
      <c r="AR48" s="73" t="str">
        <f>IF(AO48&gt;4,L48+M48+N48+O48+P48+Q48-AQ48,IF(AO48&lt;5,"Kevés v."))</f>
        <v>Kevés v.</v>
      </c>
      <c r="AT48" s="273" t="str">
        <f>IF(F48=2,IF(E48="felnőtt",8300,IF(E48="ifjúsági",6600,IF(E48="női",6600,IF(E48="gyermek",1000,"")))),"")</f>
        <v/>
      </c>
      <c r="AU48" s="273">
        <f>IF(F48=3,IF(E48="felnőtt",6300,IF(E48="ifjúsági",4600,IF(E48="női",4600,IF(E48="gyermek",0,"")))),"")</f>
        <v>6300</v>
      </c>
      <c r="AV48" s="273" t="str">
        <f>IF(F48=6,IF(E48="felnőtt",41500,IF(E48="ifjúsági",33000,IF(E48="női",33000,IF(E48="gyermek",5000,"")))),"")</f>
        <v/>
      </c>
      <c r="AW48" s="273" t="str">
        <f>IF(F48=7,IF(E48="felnőtt",31500,IF(E48="ifjúsági",23000,IF(E48="női",23000,IF(E48="gyermek",0,"")))),"")</f>
        <v/>
      </c>
      <c r="AX48" s="274"/>
      <c r="AY48" s="313">
        <f>SUM(AT48:AX48)</f>
        <v>6300</v>
      </c>
    </row>
    <row r="49" spans="1:51" x14ac:dyDescent="0.3">
      <c r="A49" s="71">
        <v>120</v>
      </c>
      <c r="B49" s="47" t="s">
        <v>343</v>
      </c>
      <c r="C49" s="47" t="s">
        <v>344</v>
      </c>
      <c r="D49" s="143" t="s">
        <v>9</v>
      </c>
      <c r="E49" s="69" t="s">
        <v>103</v>
      </c>
      <c r="F49" s="145">
        <v>3</v>
      </c>
      <c r="G49" s="66" t="s">
        <v>363</v>
      </c>
      <c r="H49" s="53">
        <v>5</v>
      </c>
      <c r="I49" s="52">
        <v>9050</v>
      </c>
      <c r="J49" s="182">
        <v>7</v>
      </c>
      <c r="K49" s="135"/>
      <c r="L49" s="127">
        <v>10</v>
      </c>
      <c r="M49" s="127">
        <v>5</v>
      </c>
      <c r="N49" s="127">
        <f>IF($G49="",20,$J49)</f>
        <v>7</v>
      </c>
      <c r="O49" s="127"/>
      <c r="P49" s="127"/>
      <c r="Q49" s="127"/>
      <c r="R49" s="128">
        <f>SUM(L49:Q49)</f>
        <v>22</v>
      </c>
      <c r="T49" s="285">
        <v>11775</v>
      </c>
      <c r="U49" s="285">
        <v>23850</v>
      </c>
      <c r="V49" s="285">
        <f>IF($G49="",0,$I49)</f>
        <v>9050</v>
      </c>
      <c r="W49" s="287"/>
      <c r="X49" s="287"/>
      <c r="Y49" s="285"/>
      <c r="Z49" s="286">
        <f>SUM(T49:Y49)</f>
        <v>44675</v>
      </c>
      <c r="AB49" s="62" t="s">
        <v>362</v>
      </c>
      <c r="AC49" s="130">
        <v>11</v>
      </c>
      <c r="AD49" s="62" t="s">
        <v>354</v>
      </c>
      <c r="AE49" s="130">
        <v>3</v>
      </c>
      <c r="AF49" s="62" t="str">
        <f>IF($G49="","-",$G49)</f>
        <v>F</v>
      </c>
      <c r="AG49" s="130">
        <f>IF($G49="","-",$H49)</f>
        <v>5</v>
      </c>
      <c r="AH49" s="62"/>
      <c r="AI49" s="63"/>
      <c r="AJ49" s="130"/>
      <c r="AK49" s="130"/>
      <c r="AL49" s="62"/>
      <c r="AM49" s="63"/>
      <c r="AO49" s="73">
        <f>COUNTIFS(L49:Q49,"&lt;20")</f>
        <v>3</v>
      </c>
      <c r="AP49" s="73">
        <f>SUMIF(L49:Q49,"&lt;20")</f>
        <v>22</v>
      </c>
      <c r="AQ49" s="73">
        <f>MAX(L49:Q49)</f>
        <v>10</v>
      </c>
      <c r="AR49" s="73" t="str">
        <f>IF(AO49&gt;4,L49+M49+N49+O49+P49+Q49-AQ49,IF(AO49&lt;5,"Kevés v."))</f>
        <v>Kevés v.</v>
      </c>
      <c r="AT49" s="273" t="str">
        <f>IF(F49=2,IF(E49="felnőtt",8300,IF(E49="ifjúsági",6600,IF(E49="női",6600,IF(E49="gyermek",1000,"")))),"")</f>
        <v/>
      </c>
      <c r="AU49" s="273">
        <f>IF(F49=3,IF(E49="felnőtt",6300,IF(E49="ifjúsági",4600,IF(E49="női",4600,IF(E49="gyermek",0,"")))),"")</f>
        <v>6300</v>
      </c>
      <c r="AV49" s="273" t="str">
        <f>IF(F49=6,IF(E49="felnőtt",41500,IF(E49="ifjúsági",33000,IF(E49="női",33000,IF(E49="gyermek",5000,"")))),"")</f>
        <v/>
      </c>
      <c r="AW49" s="273" t="str">
        <f>IF(F49=7,IF(E49="felnőtt",31500,IF(E49="ifjúsági",23000,IF(E49="női",23000,IF(E49="gyermek",0,"")))),"")</f>
        <v/>
      </c>
      <c r="AX49" s="274"/>
      <c r="AY49" s="313">
        <f>SUM(AT49:AX49)</f>
        <v>6300</v>
      </c>
    </row>
    <row r="50" spans="1:51" x14ac:dyDescent="0.3">
      <c r="A50" s="68">
        <v>114</v>
      </c>
      <c r="B50" s="47" t="s">
        <v>333</v>
      </c>
      <c r="C50" s="47" t="s">
        <v>297</v>
      </c>
      <c r="D50" s="143" t="s">
        <v>9</v>
      </c>
      <c r="E50" s="69" t="s">
        <v>11</v>
      </c>
      <c r="F50" s="145">
        <v>3</v>
      </c>
      <c r="G50" s="66" t="s">
        <v>363</v>
      </c>
      <c r="H50" s="53">
        <v>6</v>
      </c>
      <c r="I50" s="52">
        <v>8775</v>
      </c>
      <c r="J50" s="182">
        <v>8</v>
      </c>
      <c r="K50" s="135"/>
      <c r="L50" s="127">
        <v>11</v>
      </c>
      <c r="M50" s="127">
        <v>11</v>
      </c>
      <c r="N50" s="127">
        <f>IF($G50="",20,$J50)</f>
        <v>8</v>
      </c>
      <c r="O50" s="127"/>
      <c r="P50" s="127"/>
      <c r="Q50" s="127"/>
      <c r="R50" s="128">
        <f>SUM(L50:Q50)</f>
        <v>30</v>
      </c>
      <c r="T50" s="285">
        <v>9750</v>
      </c>
      <c r="U50" s="285">
        <v>10750</v>
      </c>
      <c r="V50" s="285">
        <f>IF($G50="",0,$I50)</f>
        <v>8775</v>
      </c>
      <c r="W50" s="287"/>
      <c r="X50" s="287"/>
      <c r="Y50" s="285"/>
      <c r="Z50" s="286">
        <f>SUM(T50:Y50)</f>
        <v>29275</v>
      </c>
      <c r="AB50" s="62" t="s">
        <v>361</v>
      </c>
      <c r="AC50" s="130">
        <v>7</v>
      </c>
      <c r="AD50" s="62" t="s">
        <v>357</v>
      </c>
      <c r="AE50" s="130">
        <v>3</v>
      </c>
      <c r="AF50" s="62" t="str">
        <f>IF($G50="","-",$G50)</f>
        <v>F</v>
      </c>
      <c r="AG50" s="130">
        <f>IF($G50="","-",$H50)</f>
        <v>6</v>
      </c>
      <c r="AH50" s="62"/>
      <c r="AI50" s="63"/>
      <c r="AJ50" s="130"/>
      <c r="AK50" s="130"/>
      <c r="AL50" s="62"/>
      <c r="AM50" s="63"/>
      <c r="AO50" s="73">
        <f>COUNTIFS(L50:Q50,"&lt;20")</f>
        <v>3</v>
      </c>
      <c r="AP50" s="73">
        <f>SUMIF(L50:Q50,"&lt;20")</f>
        <v>30</v>
      </c>
      <c r="AQ50" s="73">
        <f>MAX(L50:Q50)</f>
        <v>11</v>
      </c>
      <c r="AR50" s="73" t="str">
        <f>IF(AO50&gt;4,L50+M50+N50+O50+P50+Q50-AQ50,IF(AO50&lt;5,"Kevés v."))</f>
        <v>Kevés v.</v>
      </c>
      <c r="AT50" s="273" t="str">
        <f>IF(F50=2,IF(E50="felnőtt",8300,IF(E50="ifjúsági",6600,IF(E50="női",6600,IF(E50="gyermek",1000,"")))),"")</f>
        <v/>
      </c>
      <c r="AU50" s="273">
        <f>IF(F50=3,IF(E50="felnőtt",6300,IF(E50="ifjúsági",4600,IF(E50="női",4600,IF(E50="gyermek",0,"")))),"")</f>
        <v>4600</v>
      </c>
      <c r="AV50" s="273" t="str">
        <f>IF(F50=6,IF(E50="felnőtt",41500,IF(E50="ifjúsági",33000,IF(E50="női",33000,IF(E50="gyermek",5000,"")))),"")</f>
        <v/>
      </c>
      <c r="AW50" s="273" t="str">
        <f>IF(F50=7,IF(E50="felnőtt",31500,IF(E50="ifjúsági",23000,IF(E50="női",23000,IF(E50="gyermek",0,"")))),"")</f>
        <v/>
      </c>
      <c r="AX50" s="274"/>
      <c r="AY50" s="313">
        <f>SUM(AT50:AX50)</f>
        <v>4600</v>
      </c>
    </row>
    <row r="51" spans="1:51" x14ac:dyDescent="0.3">
      <c r="A51" s="68">
        <v>112</v>
      </c>
      <c r="B51" s="47" t="s">
        <v>331</v>
      </c>
      <c r="C51" s="249" t="s">
        <v>252</v>
      </c>
      <c r="D51" s="70" t="s">
        <v>9</v>
      </c>
      <c r="E51" s="69" t="s">
        <v>103</v>
      </c>
      <c r="F51" s="145">
        <v>2</v>
      </c>
      <c r="G51" s="66" t="s">
        <v>355</v>
      </c>
      <c r="H51" s="53">
        <v>7</v>
      </c>
      <c r="I51" s="52">
        <v>8275</v>
      </c>
      <c r="J51" s="182">
        <v>7</v>
      </c>
      <c r="K51" s="135"/>
      <c r="L51" s="127">
        <v>6</v>
      </c>
      <c r="M51" s="127">
        <v>3</v>
      </c>
      <c r="N51" s="127">
        <f>IF($G51="",20,$J51)</f>
        <v>7</v>
      </c>
      <c r="O51" s="127"/>
      <c r="P51" s="127"/>
      <c r="Q51" s="127"/>
      <c r="R51" s="128">
        <f>SUM(L51:Q51)</f>
        <v>16</v>
      </c>
      <c r="T51" s="285">
        <v>18300</v>
      </c>
      <c r="U51" s="285">
        <v>16550</v>
      </c>
      <c r="V51" s="285">
        <f>IF($G51="",0,$I51)</f>
        <v>8275</v>
      </c>
      <c r="W51" s="287"/>
      <c r="X51" s="287"/>
      <c r="Y51" s="285"/>
      <c r="Z51" s="286">
        <f>SUM(T51:Y51)</f>
        <v>43125</v>
      </c>
      <c r="AB51" s="62" t="s">
        <v>361</v>
      </c>
      <c r="AC51" s="130">
        <v>8</v>
      </c>
      <c r="AD51" s="62" t="s">
        <v>357</v>
      </c>
      <c r="AE51" s="130">
        <v>7</v>
      </c>
      <c r="AF51" s="62" t="str">
        <f>IF($G51="","-",$G51)</f>
        <v>E</v>
      </c>
      <c r="AG51" s="130">
        <f>IF($G51="","-",$H51)</f>
        <v>7</v>
      </c>
      <c r="AH51" s="62"/>
      <c r="AI51" s="63"/>
      <c r="AJ51" s="130"/>
      <c r="AK51" s="130"/>
      <c r="AL51" s="62"/>
      <c r="AM51" s="63"/>
      <c r="AO51" s="73">
        <f>COUNTIFS(L51:Q51,"&lt;20")</f>
        <v>3</v>
      </c>
      <c r="AP51" s="73">
        <f>SUMIF(L51:Q51,"&lt;20")</f>
        <v>16</v>
      </c>
      <c r="AQ51" s="73">
        <f>MAX(L51:Q51)</f>
        <v>7</v>
      </c>
      <c r="AR51" s="73" t="str">
        <f>IF(AO51&gt;4,L51+M51+N51+O51+P51+Q51-AQ51,IF(AO51&lt;5,"Kevés v."))</f>
        <v>Kevés v.</v>
      </c>
      <c r="AT51" s="273">
        <f>IF(F51=2,IF(E51="felnőtt",8300,IF(E51="ifjúsági",6600,IF(E51="női",6600,IF(E51="gyermek",1000,"")))),"")</f>
        <v>8300</v>
      </c>
      <c r="AU51" s="273" t="str">
        <f>IF(F51=3,IF(E51="felnőtt",6300,IF(E51="ifjúsági",4600,IF(E51="női",4600,IF(E51="gyermek",0,"")))),"")</f>
        <v/>
      </c>
      <c r="AV51" s="273" t="str">
        <f>IF(F51=6,IF(E51="felnőtt",41500,IF(E51="ifjúsági",33000,IF(E51="női",33000,IF(E51="gyermek",5000,"")))),"")</f>
        <v/>
      </c>
      <c r="AW51" s="273" t="str">
        <f>IF(F51=7,IF(E51="felnőtt",31500,IF(E51="ifjúsági",23000,IF(E51="női",23000,IF(E51="gyermek",0,"")))),"")</f>
        <v/>
      </c>
      <c r="AX51" s="274"/>
      <c r="AY51" s="313">
        <f>SUM(AT51:AX51)</f>
        <v>8300</v>
      </c>
    </row>
    <row r="52" spans="1:51" x14ac:dyDescent="0.3">
      <c r="A52" s="68">
        <v>55</v>
      </c>
      <c r="B52" s="141" t="s">
        <v>242</v>
      </c>
      <c r="C52" s="141" t="s">
        <v>105</v>
      </c>
      <c r="D52" s="143" t="s">
        <v>9</v>
      </c>
      <c r="E52" s="142" t="s">
        <v>103</v>
      </c>
      <c r="F52" s="145">
        <v>3</v>
      </c>
      <c r="G52" s="66" t="s">
        <v>355</v>
      </c>
      <c r="H52" s="53">
        <v>2</v>
      </c>
      <c r="I52" s="52">
        <v>8100</v>
      </c>
      <c r="J52" s="182">
        <v>8</v>
      </c>
      <c r="K52" s="135"/>
      <c r="L52" s="127">
        <v>7</v>
      </c>
      <c r="M52" s="127">
        <v>5</v>
      </c>
      <c r="N52" s="127">
        <f>IF($G52="",20,$J52)</f>
        <v>8</v>
      </c>
      <c r="O52" s="127"/>
      <c r="P52" s="127"/>
      <c r="Q52" s="127"/>
      <c r="R52" s="128">
        <f>SUM(L52:Q52)</f>
        <v>20</v>
      </c>
      <c r="T52" s="285">
        <v>13225</v>
      </c>
      <c r="U52" s="285">
        <v>15525</v>
      </c>
      <c r="V52" s="285">
        <f>IF($G52="",0,$I52)</f>
        <v>8100</v>
      </c>
      <c r="W52" s="287"/>
      <c r="X52" s="287"/>
      <c r="Y52" s="285"/>
      <c r="Z52" s="286">
        <f>SUM(T52:Y52)</f>
        <v>36850</v>
      </c>
      <c r="AB52" s="62" t="s">
        <v>358</v>
      </c>
      <c r="AC52" s="130">
        <v>6</v>
      </c>
      <c r="AD52" s="62" t="s">
        <v>357</v>
      </c>
      <c r="AE52" s="130">
        <v>8</v>
      </c>
      <c r="AF52" s="62" t="str">
        <f>IF($G52="","-",$G52)</f>
        <v>E</v>
      </c>
      <c r="AG52" s="130">
        <f>IF($G52="","-",$H52)</f>
        <v>2</v>
      </c>
      <c r="AH52" s="62"/>
      <c r="AI52" s="63"/>
      <c r="AJ52" s="130"/>
      <c r="AK52" s="130"/>
      <c r="AL52" s="62"/>
      <c r="AM52" s="63"/>
      <c r="AO52" s="73">
        <f>COUNTIFS(L52:Q52,"&lt;20")</f>
        <v>3</v>
      </c>
      <c r="AP52" s="73">
        <f>SUMIF(L52:Q52,"&lt;20")</f>
        <v>20</v>
      </c>
      <c r="AQ52" s="73">
        <f>MAX(L52:Q52)</f>
        <v>8</v>
      </c>
      <c r="AR52" s="73" t="str">
        <f>IF(AO52&gt;4,L52+M52+N52+O52+P52+Q52-AQ52,IF(AO52&lt;5,"Kevés v."))</f>
        <v>Kevés v.</v>
      </c>
      <c r="AT52" s="273" t="str">
        <f>IF(F52=2,IF(E52="felnőtt",8300,IF(E52="ifjúsági",6600,IF(E52="női",6600,IF(E52="gyermek",1000,"")))),"")</f>
        <v/>
      </c>
      <c r="AU52" s="273">
        <f>IF(F52=3,IF(E52="felnőtt",6300,IF(E52="ifjúsági",4600,IF(E52="női",4600,IF(E52="gyermek",0,"")))),"")</f>
        <v>6300</v>
      </c>
      <c r="AV52" s="273" t="str">
        <f>IF(F52=6,IF(E52="felnőtt",41500,IF(E52="ifjúsági",33000,IF(E52="női",33000,IF(E52="gyermek",5000,"")))),"")</f>
        <v/>
      </c>
      <c r="AW52" s="273" t="str">
        <f>IF(F52=7,IF(E52="felnőtt",31500,IF(E52="ifjúsági",23000,IF(E52="női",23000,IF(E52="gyermek",0,"")))),"")</f>
        <v/>
      </c>
      <c r="AX52" s="274"/>
      <c r="AY52" s="313">
        <f>SUM(AT52:AX52)</f>
        <v>6300</v>
      </c>
    </row>
    <row r="53" spans="1:51" x14ac:dyDescent="0.3">
      <c r="A53" s="68">
        <v>90</v>
      </c>
      <c r="B53" s="141" t="s">
        <v>298</v>
      </c>
      <c r="C53" s="141" t="s">
        <v>109</v>
      </c>
      <c r="D53" s="143" t="s">
        <v>9</v>
      </c>
      <c r="E53" s="142" t="s">
        <v>103</v>
      </c>
      <c r="F53" s="145">
        <v>3</v>
      </c>
      <c r="G53" s="66" t="s">
        <v>355</v>
      </c>
      <c r="H53" s="53">
        <v>5</v>
      </c>
      <c r="I53" s="52">
        <v>7975</v>
      </c>
      <c r="J53" s="182">
        <v>9</v>
      </c>
      <c r="K53" s="135"/>
      <c r="L53" s="127">
        <v>4</v>
      </c>
      <c r="M53" s="127">
        <v>20</v>
      </c>
      <c r="N53" s="127">
        <f>IF($G53="",20,$J53)</f>
        <v>9</v>
      </c>
      <c r="O53" s="127"/>
      <c r="P53" s="127"/>
      <c r="Q53" s="127"/>
      <c r="R53" s="128">
        <f>SUM(L53:Q53)</f>
        <v>33</v>
      </c>
      <c r="T53" s="285">
        <v>16375</v>
      </c>
      <c r="U53" s="285">
        <v>0</v>
      </c>
      <c r="V53" s="285">
        <f>IF($G53="",0,$I53)</f>
        <v>7975</v>
      </c>
      <c r="W53" s="287"/>
      <c r="X53" s="287"/>
      <c r="Y53" s="285"/>
      <c r="Z53" s="286">
        <f>SUM(T53:Y53)</f>
        <v>24350</v>
      </c>
      <c r="AB53" s="62" t="s">
        <v>362</v>
      </c>
      <c r="AC53" s="130">
        <v>2</v>
      </c>
      <c r="AD53" s="62" t="s">
        <v>185</v>
      </c>
      <c r="AE53" s="130" t="s">
        <v>185</v>
      </c>
      <c r="AF53" s="62" t="str">
        <f>IF($G53="","-",$G53)</f>
        <v>E</v>
      </c>
      <c r="AG53" s="130">
        <f>IF($G53="","-",$H53)</f>
        <v>5</v>
      </c>
      <c r="AH53" s="62"/>
      <c r="AI53" s="63"/>
      <c r="AJ53" s="130"/>
      <c r="AK53" s="130"/>
      <c r="AL53" s="62"/>
      <c r="AM53" s="63"/>
      <c r="AO53" s="73">
        <f>COUNTIFS(L53:Q53,"&lt;20")</f>
        <v>2</v>
      </c>
      <c r="AP53" s="73">
        <f>SUMIF(L53:Q53,"&lt;20")</f>
        <v>13</v>
      </c>
      <c r="AQ53" s="73">
        <f>MAX(L53:Q53)</f>
        <v>20</v>
      </c>
      <c r="AR53" s="73" t="str">
        <f>IF(AO53&gt;4,L53+M53+N53+O53+P53+Q53-AQ53,IF(AO53&lt;5,"Kevés v."))</f>
        <v>Kevés v.</v>
      </c>
      <c r="AT53" s="273" t="str">
        <f>IF(F53=2,IF(E53="felnőtt",8300,IF(E53="ifjúsági",6600,IF(E53="női",6600,IF(E53="gyermek",1000,"")))),"")</f>
        <v/>
      </c>
      <c r="AU53" s="273">
        <f>IF(F53=3,IF(E53="felnőtt",6300,IF(E53="ifjúsági",4600,IF(E53="női",4600,IF(E53="gyermek",0,"")))),"")</f>
        <v>6300</v>
      </c>
      <c r="AV53" s="273" t="str">
        <f>IF(F53=6,IF(E53="felnőtt",41500,IF(E53="ifjúsági",33000,IF(E53="női",33000,IF(E53="gyermek",5000,"")))),"")</f>
        <v/>
      </c>
      <c r="AW53" s="273" t="str">
        <f>IF(F53=7,IF(E53="felnőtt",31500,IF(E53="ifjúsági",23000,IF(E53="női",23000,IF(E53="gyermek",0,"")))),"")</f>
        <v/>
      </c>
      <c r="AX53" s="274"/>
      <c r="AY53" s="313">
        <f>SUM(AT53:AX53)</f>
        <v>6300</v>
      </c>
    </row>
    <row r="54" spans="1:51" x14ac:dyDescent="0.3">
      <c r="A54" s="68">
        <v>53</v>
      </c>
      <c r="B54" s="141" t="s">
        <v>240</v>
      </c>
      <c r="C54" s="250" t="s">
        <v>216</v>
      </c>
      <c r="D54" s="143" t="s">
        <v>9</v>
      </c>
      <c r="E54" s="142" t="s">
        <v>103</v>
      </c>
      <c r="F54" s="145">
        <v>3</v>
      </c>
      <c r="G54" s="66" t="s">
        <v>355</v>
      </c>
      <c r="H54" s="53">
        <v>10</v>
      </c>
      <c r="I54" s="52">
        <v>5675</v>
      </c>
      <c r="J54" s="182">
        <v>10</v>
      </c>
      <c r="K54" s="135"/>
      <c r="L54" s="127">
        <v>1</v>
      </c>
      <c r="M54" s="127">
        <v>8</v>
      </c>
      <c r="N54" s="127">
        <f>IF($G54="",20,$J54)</f>
        <v>10</v>
      </c>
      <c r="O54" s="127"/>
      <c r="P54" s="127"/>
      <c r="Q54" s="127"/>
      <c r="R54" s="128">
        <f>SUM(L54:Q54)</f>
        <v>19</v>
      </c>
      <c r="T54" s="285">
        <v>64875</v>
      </c>
      <c r="U54" s="285">
        <v>15000</v>
      </c>
      <c r="V54" s="285">
        <f>IF($G54="",0,$I54)</f>
        <v>5675</v>
      </c>
      <c r="W54" s="287"/>
      <c r="X54" s="287"/>
      <c r="Y54" s="285"/>
      <c r="Z54" s="286">
        <f>SUM(T54:Y54)</f>
        <v>85550</v>
      </c>
      <c r="AB54" s="62" t="s">
        <v>362</v>
      </c>
      <c r="AC54" s="130">
        <v>13</v>
      </c>
      <c r="AD54" s="62" t="s">
        <v>353</v>
      </c>
      <c r="AE54" s="130">
        <v>7</v>
      </c>
      <c r="AF54" s="62" t="str">
        <f>IF($G54="","-",$G54)</f>
        <v>E</v>
      </c>
      <c r="AG54" s="130">
        <f>IF($G54="","-",$H54)</f>
        <v>10</v>
      </c>
      <c r="AH54" s="62"/>
      <c r="AI54" s="63"/>
      <c r="AJ54" s="130"/>
      <c r="AK54" s="130"/>
      <c r="AL54" s="62"/>
      <c r="AM54" s="63"/>
      <c r="AO54" s="73">
        <f>COUNTIFS(L54:Q54,"&lt;20")</f>
        <v>3</v>
      </c>
      <c r="AP54" s="73">
        <f>SUMIF(L54:Q54,"&lt;20")</f>
        <v>19</v>
      </c>
      <c r="AQ54" s="73">
        <f>MAX(L54:Q54)</f>
        <v>10</v>
      </c>
      <c r="AR54" s="73" t="str">
        <f>IF(AO54&gt;4,L54+M54+N54+O54+P54+Q54-AQ54,IF(AO54&lt;5,"Kevés v."))</f>
        <v>Kevés v.</v>
      </c>
      <c r="AT54" s="273" t="str">
        <f>IF(F54=2,IF(E54="felnőtt",8300,IF(E54="ifjúsági",6600,IF(E54="női",6600,IF(E54="gyermek",1000,"")))),"")</f>
        <v/>
      </c>
      <c r="AU54" s="273">
        <f>IF(F54=3,IF(E54="felnőtt",6300,IF(E54="ifjúsági",4600,IF(E54="női",4600,IF(E54="gyermek",0,"")))),"")</f>
        <v>6300</v>
      </c>
      <c r="AV54" s="273" t="str">
        <f>IF(F54=6,IF(E54="felnőtt",41500,IF(E54="ifjúsági",33000,IF(E54="női",33000,IF(E54="gyermek",5000,"")))),"")</f>
        <v/>
      </c>
      <c r="AW54" s="273" t="str">
        <f>IF(F54=7,IF(E54="felnőtt",31500,IF(E54="ifjúsági",23000,IF(E54="női",23000,IF(E54="gyermek",0,"")))),"")</f>
        <v/>
      </c>
      <c r="AX54" s="274"/>
      <c r="AY54" s="313">
        <f>SUM(AT54:AX54)</f>
        <v>6300</v>
      </c>
    </row>
    <row r="55" spans="1:51" x14ac:dyDescent="0.3">
      <c r="A55" s="68">
        <v>80</v>
      </c>
      <c r="B55" s="141" t="s">
        <v>285</v>
      </c>
      <c r="C55" s="250" t="s">
        <v>166</v>
      </c>
      <c r="D55" s="143" t="s">
        <v>9</v>
      </c>
      <c r="E55" s="142" t="s">
        <v>103</v>
      </c>
      <c r="F55" s="145">
        <v>3</v>
      </c>
      <c r="G55" s="66" t="s">
        <v>363</v>
      </c>
      <c r="H55" s="53">
        <v>2</v>
      </c>
      <c r="I55" s="52">
        <v>5550</v>
      </c>
      <c r="J55" s="182">
        <v>9</v>
      </c>
      <c r="K55" s="135"/>
      <c r="L55" s="127">
        <v>12</v>
      </c>
      <c r="M55" s="127">
        <v>8.5</v>
      </c>
      <c r="N55" s="127">
        <f>IF($G55="",20,$J55)</f>
        <v>9</v>
      </c>
      <c r="O55" s="127"/>
      <c r="P55" s="127"/>
      <c r="Q55" s="127"/>
      <c r="R55" s="128">
        <f>SUM(L55:Q55)</f>
        <v>29.5</v>
      </c>
      <c r="T55" s="285">
        <v>6300</v>
      </c>
      <c r="U55" s="285">
        <v>15000</v>
      </c>
      <c r="V55" s="285">
        <f>IF($G55="",0,$I55)</f>
        <v>5550</v>
      </c>
      <c r="W55" s="287"/>
      <c r="X55" s="287"/>
      <c r="Y55" s="285"/>
      <c r="Z55" s="286">
        <f>SUM(T55:Y55)</f>
        <v>26850</v>
      </c>
      <c r="AB55" s="62" t="s">
        <v>362</v>
      </c>
      <c r="AC55" s="130">
        <v>10</v>
      </c>
      <c r="AD55" s="62" t="s">
        <v>357</v>
      </c>
      <c r="AE55" s="130">
        <v>4</v>
      </c>
      <c r="AF55" s="62" t="str">
        <f>IF($G55="","-",$G55)</f>
        <v>F</v>
      </c>
      <c r="AG55" s="130">
        <f>IF($G55="","-",$H55)</f>
        <v>2</v>
      </c>
      <c r="AH55" s="62"/>
      <c r="AI55" s="63"/>
      <c r="AJ55" s="130"/>
      <c r="AK55" s="130"/>
      <c r="AL55" s="62"/>
      <c r="AM55" s="63"/>
      <c r="AO55" s="73">
        <f>COUNTIFS(L55:Q55,"&lt;20")</f>
        <v>3</v>
      </c>
      <c r="AP55" s="73">
        <f>SUMIF(L55:Q55,"&lt;20")</f>
        <v>29.5</v>
      </c>
      <c r="AQ55" s="73">
        <f>MAX(L55:Q55)</f>
        <v>12</v>
      </c>
      <c r="AR55" s="73" t="str">
        <f>IF(AO55&gt;4,L55+M55+N55+O55+P55+Q55-AQ55,IF(AO55&lt;5,"Kevés v."))</f>
        <v>Kevés v.</v>
      </c>
      <c r="AT55" s="273" t="str">
        <f>IF(F55=2,IF(E55="felnőtt",8300,IF(E55="ifjúsági",6600,IF(E55="női",6600,IF(E55="gyermek",1000,"")))),"")</f>
        <v/>
      </c>
      <c r="AU55" s="273">
        <f>IF(F55=3,IF(E55="felnőtt",6300,IF(E55="ifjúsági",4600,IF(E55="női",4600,IF(E55="gyermek",0,"")))),"")</f>
        <v>6300</v>
      </c>
      <c r="AV55" s="273" t="str">
        <f>IF(F55=6,IF(E55="felnőtt",41500,IF(E55="ifjúsági",33000,IF(E55="női",33000,IF(E55="gyermek",5000,"")))),"")</f>
        <v/>
      </c>
      <c r="AW55" s="273" t="str">
        <f>IF(F55=7,IF(E55="felnőtt",31500,IF(E55="ifjúsági",23000,IF(E55="női",23000,IF(E55="gyermek",0,"")))),"")</f>
        <v/>
      </c>
      <c r="AX55" s="274"/>
      <c r="AY55" s="313">
        <f>SUM(AT55:AX55)</f>
        <v>6300</v>
      </c>
    </row>
    <row r="56" spans="1:51" x14ac:dyDescent="0.3">
      <c r="A56" s="68">
        <v>41</v>
      </c>
      <c r="B56" s="141" t="s">
        <v>223</v>
      </c>
      <c r="C56" s="250" t="s">
        <v>105</v>
      </c>
      <c r="D56" s="143" t="s">
        <v>9</v>
      </c>
      <c r="E56" s="142" t="s">
        <v>103</v>
      </c>
      <c r="F56" s="145">
        <v>3</v>
      </c>
      <c r="G56" s="66" t="s">
        <v>355</v>
      </c>
      <c r="H56" s="53">
        <v>4</v>
      </c>
      <c r="I56" s="52">
        <v>5450</v>
      </c>
      <c r="J56" s="182">
        <v>11</v>
      </c>
      <c r="K56" s="135"/>
      <c r="L56" s="127">
        <v>8</v>
      </c>
      <c r="M56" s="127">
        <v>10</v>
      </c>
      <c r="N56" s="127">
        <f>IF($G56="",20,$J56)</f>
        <v>11</v>
      </c>
      <c r="O56" s="127"/>
      <c r="P56" s="127"/>
      <c r="Q56" s="127"/>
      <c r="R56" s="128">
        <f>SUM(L56:Q56)</f>
        <v>29</v>
      </c>
      <c r="T56" s="285">
        <v>17125</v>
      </c>
      <c r="U56" s="285">
        <v>13325</v>
      </c>
      <c r="V56" s="285">
        <f>IF($G56="",0,$I56)</f>
        <v>5450</v>
      </c>
      <c r="W56" s="287"/>
      <c r="X56" s="287"/>
      <c r="Y56" s="285"/>
      <c r="Z56" s="286">
        <f>SUM(T56:Y56)</f>
        <v>35900</v>
      </c>
      <c r="AB56" s="62" t="s">
        <v>361</v>
      </c>
      <c r="AC56" s="130">
        <v>9</v>
      </c>
      <c r="AD56" s="62" t="s">
        <v>353</v>
      </c>
      <c r="AE56" s="130">
        <v>10</v>
      </c>
      <c r="AF56" s="62" t="str">
        <f>IF($G56="","-",$G56)</f>
        <v>E</v>
      </c>
      <c r="AG56" s="130">
        <f>IF($G56="","-",$H56)</f>
        <v>4</v>
      </c>
      <c r="AH56" s="62"/>
      <c r="AI56" s="63"/>
      <c r="AJ56" s="130"/>
      <c r="AK56" s="130"/>
      <c r="AL56" s="62"/>
      <c r="AM56" s="63"/>
      <c r="AO56" s="73">
        <f>COUNTIFS(L56:Q56,"&lt;20")</f>
        <v>3</v>
      </c>
      <c r="AP56" s="73">
        <f>SUMIF(L56:Q56,"&lt;20")</f>
        <v>29</v>
      </c>
      <c r="AQ56" s="73">
        <f>MAX(L56:Q56)</f>
        <v>11</v>
      </c>
      <c r="AR56" s="73" t="str">
        <f>IF(AO56&gt;4,L56+M56+N56+O56+P56+Q56-AQ56,IF(AO56&lt;5,"Kevés v."))</f>
        <v>Kevés v.</v>
      </c>
      <c r="AT56" s="273" t="str">
        <f>IF(F56=2,IF(E56="felnőtt",8300,IF(E56="ifjúsági",6600,IF(E56="női",6600,IF(E56="gyermek",1000,"")))),"")</f>
        <v/>
      </c>
      <c r="AU56" s="273">
        <f>IF(F56=3,IF(E56="felnőtt",6300,IF(E56="ifjúsági",4600,IF(E56="női",4600,IF(E56="gyermek",0,"")))),"")</f>
        <v>6300</v>
      </c>
      <c r="AV56" s="273" t="str">
        <f>IF(F56=6,IF(E56="felnőtt",41500,IF(E56="ifjúsági",33000,IF(E56="női",33000,IF(E56="gyermek",5000,"")))),"")</f>
        <v/>
      </c>
      <c r="AW56" s="273" t="str">
        <f>IF(F56=7,IF(E56="felnőtt",31500,IF(E56="ifjúsági",23000,IF(E56="női",23000,IF(E56="gyermek",0,"")))),"")</f>
        <v/>
      </c>
      <c r="AX56" s="274"/>
      <c r="AY56" s="313">
        <f>SUM(AT56:AX56)</f>
        <v>6300</v>
      </c>
    </row>
    <row r="57" spans="1:51" x14ac:dyDescent="0.3">
      <c r="A57" s="71">
        <v>133</v>
      </c>
      <c r="B57" s="47" t="s">
        <v>386</v>
      </c>
      <c r="C57" s="249" t="s">
        <v>216</v>
      </c>
      <c r="D57" s="70" t="s">
        <v>9</v>
      </c>
      <c r="E57" s="69" t="s">
        <v>103</v>
      </c>
      <c r="F57" s="145">
        <v>3</v>
      </c>
      <c r="G57" s="66" t="s">
        <v>363</v>
      </c>
      <c r="H57" s="53">
        <v>8</v>
      </c>
      <c r="I57" s="52">
        <v>4875</v>
      </c>
      <c r="J57" s="182">
        <v>10</v>
      </c>
      <c r="K57" s="135"/>
      <c r="L57" s="127">
        <v>20</v>
      </c>
      <c r="M57" s="127">
        <v>7</v>
      </c>
      <c r="N57" s="127">
        <f>IF($G57="",20,$J57)</f>
        <v>10</v>
      </c>
      <c r="O57" s="127"/>
      <c r="P57" s="127"/>
      <c r="Q57" s="127"/>
      <c r="R57" s="128">
        <f>SUM(L57:Q57)</f>
        <v>37</v>
      </c>
      <c r="T57" s="285">
        <v>0</v>
      </c>
      <c r="U57" s="285">
        <v>20200</v>
      </c>
      <c r="V57" s="285">
        <f>IF($G57="",0,$I57)</f>
        <v>4875</v>
      </c>
      <c r="W57" s="287"/>
      <c r="X57" s="287"/>
      <c r="Y57" s="285"/>
      <c r="Z57" s="286">
        <f>SUM(T57:Y57)</f>
        <v>25075</v>
      </c>
      <c r="AB57" s="62" t="s">
        <v>185</v>
      </c>
      <c r="AC57" s="130" t="s">
        <v>185</v>
      </c>
      <c r="AD57" s="62" t="s">
        <v>354</v>
      </c>
      <c r="AE57" s="130">
        <v>11</v>
      </c>
      <c r="AF57" s="62" t="str">
        <f>IF($G57="","-",$G57)</f>
        <v>F</v>
      </c>
      <c r="AG57" s="130">
        <f>IF($G57="","-",$H57)</f>
        <v>8</v>
      </c>
      <c r="AH57" s="62"/>
      <c r="AI57" s="63"/>
      <c r="AJ57" s="130"/>
      <c r="AK57" s="130"/>
      <c r="AL57" s="62"/>
      <c r="AM57" s="63"/>
      <c r="AO57" s="73">
        <f>COUNTIFS(L57:Q57,"&lt;20")</f>
        <v>2</v>
      </c>
      <c r="AP57" s="73">
        <f>SUMIF(L57:Q57,"&lt;20")</f>
        <v>17</v>
      </c>
      <c r="AQ57" s="73">
        <f>MAX(L57:Q57)</f>
        <v>20</v>
      </c>
      <c r="AR57" s="73" t="str">
        <f>IF(AO57&gt;4,L57+M57+N57+O57+P57+Q57-AQ57,IF(AO57&lt;5,"Kevés v."))</f>
        <v>Kevés v.</v>
      </c>
      <c r="AT57" s="273" t="str">
        <f>IF(F57=2,IF(E57="felnőtt",8300,IF(E57="ifjúsági",6600,IF(E57="női",6600,IF(E57="gyermek",1000,"")))),"")</f>
        <v/>
      </c>
      <c r="AU57" s="273">
        <f>IF(F57=3,IF(E57="felnőtt",6300,IF(E57="ifjúsági",4600,IF(E57="női",4600,IF(E57="gyermek",0,"")))),"")</f>
        <v>6300</v>
      </c>
      <c r="AV57" s="273" t="str">
        <f>IF(F57=6,IF(E57="felnőtt",41500,IF(E57="ifjúsági",33000,IF(E57="női",33000,IF(E57="gyermek",5000,"")))),"")</f>
        <v/>
      </c>
      <c r="AW57" s="273" t="str">
        <f>IF(F57=7,IF(E57="felnőtt",31500,IF(E57="ifjúsági",23000,IF(E57="női",23000,IF(E57="gyermek",0,"")))),"")</f>
        <v/>
      </c>
      <c r="AX57" s="274"/>
      <c r="AY57" s="313">
        <f>SUM(AT57:AX57)</f>
        <v>6300</v>
      </c>
    </row>
    <row r="58" spans="1:51" x14ac:dyDescent="0.3">
      <c r="A58" s="68">
        <v>89</v>
      </c>
      <c r="B58" s="141" t="s">
        <v>296</v>
      </c>
      <c r="C58" s="141" t="s">
        <v>297</v>
      </c>
      <c r="D58" s="143" t="s">
        <v>9</v>
      </c>
      <c r="E58" s="142" t="s">
        <v>103</v>
      </c>
      <c r="F58" s="145"/>
      <c r="G58" s="66" t="s">
        <v>363</v>
      </c>
      <c r="H58" s="53">
        <v>4</v>
      </c>
      <c r="I58" s="52">
        <v>3450</v>
      </c>
      <c r="J58" s="182">
        <v>11</v>
      </c>
      <c r="K58" s="135"/>
      <c r="L58" s="127">
        <v>4</v>
      </c>
      <c r="M58" s="127">
        <v>10</v>
      </c>
      <c r="N58" s="127">
        <f>IF($G58="",20,$J58)</f>
        <v>11</v>
      </c>
      <c r="O58" s="127"/>
      <c r="P58" s="127"/>
      <c r="Q58" s="127"/>
      <c r="R58" s="128">
        <f>SUM(L58:Q58)</f>
        <v>25</v>
      </c>
      <c r="T58" s="285">
        <v>20450</v>
      </c>
      <c r="U58" s="285">
        <v>15425</v>
      </c>
      <c r="V58" s="285">
        <f>IF($G58="",0,$I58)</f>
        <v>3450</v>
      </c>
      <c r="W58" s="287"/>
      <c r="X58" s="287"/>
      <c r="Y58" s="285"/>
      <c r="Z58" s="286">
        <f>SUM(T58:Y58)</f>
        <v>39325</v>
      </c>
      <c r="AB58" s="62" t="s">
        <v>361</v>
      </c>
      <c r="AC58" s="130">
        <v>2</v>
      </c>
      <c r="AD58" s="62" t="s">
        <v>354</v>
      </c>
      <c r="AE58" s="130">
        <v>4</v>
      </c>
      <c r="AF58" s="62" t="str">
        <f>IF($G58="","-",$G58)</f>
        <v>F</v>
      </c>
      <c r="AG58" s="130">
        <f>IF($G58="","-",$H58)</f>
        <v>4</v>
      </c>
      <c r="AH58" s="62"/>
      <c r="AI58" s="63"/>
      <c r="AJ58" s="130"/>
      <c r="AK58" s="130"/>
      <c r="AL58" s="62"/>
      <c r="AM58" s="63"/>
      <c r="AO58" s="73">
        <f>COUNTIFS(L58:Q58,"&lt;20")</f>
        <v>3</v>
      </c>
      <c r="AP58" s="73">
        <f>SUMIF(L58:Q58,"&lt;20")</f>
        <v>25</v>
      </c>
      <c r="AQ58" s="73">
        <f>MAX(L58:Q58)</f>
        <v>11</v>
      </c>
      <c r="AR58" s="73" t="str">
        <f>IF(AO58&gt;4,L58+M58+N58+O58+P58+Q58-AQ58,IF(AO58&lt;5,"Kevés v."))</f>
        <v>Kevés v.</v>
      </c>
      <c r="AT58" s="273" t="str">
        <f>IF(F58=2,IF(E58="felnőtt",8300,IF(E58="ifjúsági",6600,IF(E58="női",6600,IF(E58="gyermek",1000,"")))),"")</f>
        <v/>
      </c>
      <c r="AU58" s="273" t="str">
        <f>IF(F58=3,IF(E58="felnőtt",6300,IF(E58="ifjúsági",4600,IF(E58="női",4600,IF(E58="gyermek",0,"")))),"")</f>
        <v/>
      </c>
      <c r="AV58" s="273" t="str">
        <f>IF(F58=6,IF(E58="felnőtt",41500,IF(E58="ifjúsági",33000,IF(E58="női",33000,IF(E58="gyermek",5000,"")))),"")</f>
        <v/>
      </c>
      <c r="AW58" s="273" t="s">
        <v>365</v>
      </c>
      <c r="AX58" s="274"/>
      <c r="AY58" s="313">
        <f>SUM(AT58:AX58)</f>
        <v>0</v>
      </c>
    </row>
    <row r="59" spans="1:51" x14ac:dyDescent="0.3">
      <c r="A59" s="68">
        <v>13</v>
      </c>
      <c r="B59" s="141" t="s">
        <v>149</v>
      </c>
      <c r="C59" s="250" t="s">
        <v>150</v>
      </c>
      <c r="D59" s="143" t="s">
        <v>116</v>
      </c>
      <c r="E59" s="142" t="s">
        <v>11</v>
      </c>
      <c r="F59" s="145">
        <v>3</v>
      </c>
      <c r="G59" s="66" t="s">
        <v>360</v>
      </c>
      <c r="H59" s="53">
        <v>9</v>
      </c>
      <c r="I59" s="52">
        <v>4125</v>
      </c>
      <c r="J59" s="182">
        <v>5</v>
      </c>
      <c r="K59" s="135"/>
      <c r="L59" s="127">
        <v>7</v>
      </c>
      <c r="M59" s="127">
        <v>5</v>
      </c>
      <c r="N59" s="127">
        <f>IF($G59="",20,$J59)</f>
        <v>5</v>
      </c>
      <c r="O59" s="127"/>
      <c r="P59" s="127"/>
      <c r="Q59" s="127"/>
      <c r="R59" s="128">
        <f>SUM(L59:Q59)</f>
        <v>17</v>
      </c>
      <c r="T59" s="285">
        <v>2100</v>
      </c>
      <c r="U59" s="285">
        <v>15950</v>
      </c>
      <c r="V59" s="285">
        <f>IF($G59="",0,$I59)</f>
        <v>4125</v>
      </c>
      <c r="W59" s="287"/>
      <c r="X59" s="287"/>
      <c r="Y59" s="285"/>
      <c r="Z59" s="286">
        <f>SUM(T59:Y59)</f>
        <v>22175</v>
      </c>
      <c r="AB59" s="62" t="s">
        <v>354</v>
      </c>
      <c r="AC59" s="130">
        <v>3</v>
      </c>
      <c r="AD59" s="62" t="s">
        <v>363</v>
      </c>
      <c r="AE59" s="130">
        <v>9</v>
      </c>
      <c r="AF59" s="62" t="str">
        <f>IF($G59="","-",$G59)</f>
        <v>G</v>
      </c>
      <c r="AG59" s="130">
        <f>IF($G59="","-",$H59)</f>
        <v>9</v>
      </c>
      <c r="AH59" s="62"/>
      <c r="AI59" s="63"/>
      <c r="AJ59" s="130"/>
      <c r="AK59" s="130"/>
      <c r="AL59" s="62"/>
      <c r="AM59" s="63"/>
      <c r="AO59" s="73">
        <f>COUNTIFS(L59:Q59,"&lt;20")</f>
        <v>3</v>
      </c>
      <c r="AP59" s="73">
        <f>SUMIF(L59:Q59,"&lt;20")</f>
        <v>17</v>
      </c>
      <c r="AQ59" s="73">
        <f>MAX(L59:Q59)</f>
        <v>7</v>
      </c>
      <c r="AR59" s="73" t="str">
        <f>IF(AO59&gt;4,L59+M59+N59+O59+P59+Q59-AQ59,IF(AO59&lt;5,"Kevés v."))</f>
        <v>Kevés v.</v>
      </c>
      <c r="AT59" s="273" t="str">
        <f>IF(F59=2,IF(E59="felnőtt",8300,IF(E59="ifjúsági",6600,IF(E59="női",6600,IF(E59="gyermek",1000,"")))),"")</f>
        <v/>
      </c>
      <c r="AU59" s="273">
        <f>IF(F59=3,IF(E59="felnőtt",6300,IF(E59="ifjúsági",4600,IF(E59="női",4600,IF(E59="gyermek",0,"")))),"")</f>
        <v>4600</v>
      </c>
      <c r="AV59" s="273" t="str">
        <f>IF(F59=6,IF(E59="felnőtt",41500,IF(E59="ifjúsági",33000,IF(E59="női",33000,IF(E59="gyermek",5000,"")))),"")</f>
        <v/>
      </c>
      <c r="AW59" s="273" t="str">
        <f>IF(F59=7,IF(E59="felnőtt",31500,IF(E59="ifjúsági",23000,IF(E59="női",23000,IF(E59="gyermek",0,"")))),"")</f>
        <v/>
      </c>
      <c r="AX59" s="274"/>
      <c r="AY59" s="313">
        <f>SUM(AT59:AX59)</f>
        <v>4600</v>
      </c>
    </row>
    <row r="60" spans="1:51" x14ac:dyDescent="0.3">
      <c r="A60" s="68">
        <v>94</v>
      </c>
      <c r="B60" s="141" t="s">
        <v>305</v>
      </c>
      <c r="C60" s="250" t="s">
        <v>306</v>
      </c>
      <c r="D60" s="143" t="s">
        <v>116</v>
      </c>
      <c r="E60" s="142" t="s">
        <v>103</v>
      </c>
      <c r="F60" s="145">
        <v>3</v>
      </c>
      <c r="G60" s="66" t="s">
        <v>356</v>
      </c>
      <c r="H60" s="53">
        <v>5</v>
      </c>
      <c r="I60" s="52">
        <v>19675</v>
      </c>
      <c r="J60" s="182">
        <v>1</v>
      </c>
      <c r="K60" s="135"/>
      <c r="L60" s="127">
        <v>3</v>
      </c>
      <c r="M60" s="127">
        <v>4</v>
      </c>
      <c r="N60" s="127">
        <f>IF($G60="",20,$J60)</f>
        <v>1</v>
      </c>
      <c r="O60" s="127"/>
      <c r="P60" s="127"/>
      <c r="Q60" s="127"/>
      <c r="R60" s="128">
        <f>SUM(L60:Q60)</f>
        <v>8</v>
      </c>
      <c r="T60" s="285">
        <v>6250</v>
      </c>
      <c r="U60" s="285">
        <v>20775</v>
      </c>
      <c r="V60" s="285">
        <f>IF($G60="",0,$I60)</f>
        <v>19675</v>
      </c>
      <c r="W60" s="287"/>
      <c r="X60" s="287"/>
      <c r="Y60" s="285"/>
      <c r="Z60" s="286">
        <f>SUM(T60:Y60)</f>
        <v>46700</v>
      </c>
      <c r="AB60" s="62" t="s">
        <v>355</v>
      </c>
      <c r="AC60" s="130">
        <v>4</v>
      </c>
      <c r="AD60" s="62" t="s">
        <v>360</v>
      </c>
      <c r="AE60" s="130">
        <v>2</v>
      </c>
      <c r="AF60" s="62" t="str">
        <f>IF($G60="","-",$G60)</f>
        <v>H</v>
      </c>
      <c r="AG60" s="130">
        <f>IF($G60="","-",$H60)</f>
        <v>5</v>
      </c>
      <c r="AH60" s="62"/>
      <c r="AI60" s="63"/>
      <c r="AJ60" s="130"/>
      <c r="AK60" s="130"/>
      <c r="AL60" s="62"/>
      <c r="AM60" s="63"/>
      <c r="AO60" s="73">
        <f>COUNTIFS(L60:Q60,"&lt;20")</f>
        <v>3</v>
      </c>
      <c r="AP60" s="73">
        <f>SUMIF(L60:Q60,"&lt;20")</f>
        <v>8</v>
      </c>
      <c r="AQ60" s="73">
        <f>MAX(L60:Q60)</f>
        <v>4</v>
      </c>
      <c r="AR60" s="73" t="str">
        <f>IF(AO60&gt;4,L60+M60+N60+O60+P60+Q60-AQ60,IF(AO60&lt;5,"Kevés v."))</f>
        <v>Kevés v.</v>
      </c>
      <c r="AT60" s="273" t="str">
        <f>IF(F60=2,IF(E60="felnőtt",8300,IF(E60="ifjúsági",6600,IF(E60="női",6600,IF(E60="gyermek",1000,"")))),"")</f>
        <v/>
      </c>
      <c r="AU60" s="273">
        <f>IF(F60=3,IF(E60="felnőtt",6300,IF(E60="ifjúsági",4600,IF(E60="női",4600,IF(E60="gyermek",0,"")))),"")</f>
        <v>6300</v>
      </c>
      <c r="AV60" s="273" t="str">
        <f>IF(F60=6,IF(E60="felnőtt",41500,IF(E60="ifjúsági",33000,IF(E60="női",33000,IF(E60="gyermek",5000,"")))),"")</f>
        <v/>
      </c>
      <c r="AW60" s="273" t="str">
        <f>IF(F60=7,IF(E60="felnőtt",31500,IF(E60="ifjúsági",23000,IF(E60="női",23000,IF(E60="gyermek",0,"")))),"")</f>
        <v/>
      </c>
      <c r="AX60" s="274"/>
      <c r="AY60" s="313">
        <f>SUM(AT60:AX60)</f>
        <v>6300</v>
      </c>
    </row>
    <row r="61" spans="1:51" x14ac:dyDescent="0.3">
      <c r="A61" s="68">
        <v>96</v>
      </c>
      <c r="B61" s="141" t="s">
        <v>308</v>
      </c>
      <c r="C61" s="141" t="s">
        <v>309</v>
      </c>
      <c r="D61" s="143" t="s">
        <v>116</v>
      </c>
      <c r="E61" s="142" t="s">
        <v>103</v>
      </c>
      <c r="F61" s="145">
        <v>2</v>
      </c>
      <c r="G61" s="66" t="s">
        <v>356</v>
      </c>
      <c r="H61" s="53">
        <v>3</v>
      </c>
      <c r="I61" s="52">
        <v>18275</v>
      </c>
      <c r="J61" s="182">
        <v>2</v>
      </c>
      <c r="K61" s="135"/>
      <c r="L61" s="127">
        <v>10</v>
      </c>
      <c r="M61" s="127">
        <v>3</v>
      </c>
      <c r="N61" s="127">
        <f>IF($G61="",20,$J61)</f>
        <v>2</v>
      </c>
      <c r="O61" s="127"/>
      <c r="P61" s="127"/>
      <c r="Q61" s="127"/>
      <c r="R61" s="128">
        <f>SUM(L61:Q61)</f>
        <v>15</v>
      </c>
      <c r="T61" s="285">
        <v>0</v>
      </c>
      <c r="U61" s="285">
        <v>23075</v>
      </c>
      <c r="V61" s="285">
        <f>IF($G61="",0,$I61)</f>
        <v>18275</v>
      </c>
      <c r="W61" s="287"/>
      <c r="X61" s="287"/>
      <c r="Y61" s="285"/>
      <c r="Z61" s="286">
        <f>SUM(T61:Y61)</f>
        <v>41350</v>
      </c>
      <c r="AB61" s="62" t="s">
        <v>353</v>
      </c>
      <c r="AC61" s="130">
        <v>1</v>
      </c>
      <c r="AD61" s="62" t="s">
        <v>363</v>
      </c>
      <c r="AE61" s="130">
        <v>3</v>
      </c>
      <c r="AF61" s="62" t="str">
        <f>IF($G61="","-",$G61)</f>
        <v>H</v>
      </c>
      <c r="AG61" s="130">
        <f>IF($G61="","-",$H61)</f>
        <v>3</v>
      </c>
      <c r="AH61" s="62"/>
      <c r="AI61" s="63"/>
      <c r="AJ61" s="130"/>
      <c r="AK61" s="130"/>
      <c r="AL61" s="62"/>
      <c r="AM61" s="63"/>
      <c r="AO61" s="73">
        <f>COUNTIFS(L61:Q61,"&lt;20")</f>
        <v>3</v>
      </c>
      <c r="AP61" s="73">
        <f>SUMIF(L61:Q61,"&lt;20")</f>
        <v>15</v>
      </c>
      <c r="AQ61" s="73">
        <f>MAX(L61:Q61)</f>
        <v>10</v>
      </c>
      <c r="AR61" s="73" t="str">
        <f>IF(AO61&gt;4,L61+M61+N61+O61+P61+Q61-AQ61,IF(AO61&lt;5,"Kevés v."))</f>
        <v>Kevés v.</v>
      </c>
      <c r="AT61" s="273">
        <f>IF(F61=2,IF(E61="felnőtt",8300,IF(E61="ifjúsági",6600,IF(E61="női",6600,IF(E61="gyermek",1000,"")))),"")</f>
        <v>8300</v>
      </c>
      <c r="AU61" s="273" t="str">
        <f>IF(F61=3,IF(E61="felnőtt",6300,IF(E61="ifjúsági",4600,IF(E61="női",4600,IF(E61="gyermek",0,"")))),"")</f>
        <v/>
      </c>
      <c r="AV61" s="273" t="str">
        <f>IF(F61=6,IF(E61="felnőtt",41500,IF(E61="ifjúsági",33000,IF(E61="női",33000,IF(E61="gyermek",5000,"")))),"")</f>
        <v/>
      </c>
      <c r="AW61" s="273" t="str">
        <f>IF(F61=7,IF(E61="felnőtt",31500,IF(E61="ifjúsági",23000,IF(E61="női",23000,IF(E61="gyermek",0,"")))),"")</f>
        <v/>
      </c>
      <c r="AX61" s="274"/>
      <c r="AY61" s="313">
        <f>SUM(AT61:AX61)</f>
        <v>8300</v>
      </c>
    </row>
    <row r="62" spans="1:51" x14ac:dyDescent="0.3">
      <c r="A62" s="68">
        <v>10</v>
      </c>
      <c r="B62" s="141" t="s">
        <v>143</v>
      </c>
      <c r="C62" s="250" t="s">
        <v>144</v>
      </c>
      <c r="D62" s="143" t="s">
        <v>116</v>
      </c>
      <c r="E62" s="142" t="s">
        <v>103</v>
      </c>
      <c r="F62" s="145"/>
      <c r="G62" s="66" t="s">
        <v>356</v>
      </c>
      <c r="H62" s="53">
        <v>10</v>
      </c>
      <c r="I62" s="52">
        <v>15200</v>
      </c>
      <c r="J62" s="182">
        <v>3</v>
      </c>
      <c r="K62" s="135"/>
      <c r="L62" s="127">
        <v>8</v>
      </c>
      <c r="M62" s="127">
        <v>4</v>
      </c>
      <c r="N62" s="127">
        <f>IF($G62="",20,$J62)</f>
        <v>3</v>
      </c>
      <c r="O62" s="127"/>
      <c r="P62" s="127"/>
      <c r="Q62" s="127"/>
      <c r="R62" s="128">
        <f>SUM(L62:Q62)</f>
        <v>15</v>
      </c>
      <c r="T62" s="285">
        <v>8120</v>
      </c>
      <c r="U62" s="285">
        <v>16540</v>
      </c>
      <c r="V62" s="285">
        <f>IF($G62="",0,$I62)</f>
        <v>15200</v>
      </c>
      <c r="W62" s="287"/>
      <c r="X62" s="287"/>
      <c r="Y62" s="285"/>
      <c r="Z62" s="286">
        <f>SUM(T62:Y62)</f>
        <v>39860</v>
      </c>
      <c r="AB62" s="62" t="s">
        <v>353</v>
      </c>
      <c r="AC62" s="130">
        <v>4</v>
      </c>
      <c r="AD62" s="62" t="s">
        <v>363</v>
      </c>
      <c r="AE62" s="130">
        <v>8</v>
      </c>
      <c r="AF62" s="62" t="str">
        <f>IF($G62="","-",$G62)</f>
        <v>H</v>
      </c>
      <c r="AG62" s="130">
        <f>IF($G62="","-",$H62)</f>
        <v>10</v>
      </c>
      <c r="AH62" s="62"/>
      <c r="AI62" s="63"/>
      <c r="AJ62" s="130"/>
      <c r="AK62" s="130"/>
      <c r="AL62" s="62"/>
      <c r="AM62" s="63"/>
      <c r="AO62" s="73">
        <f>COUNTIFS(L62:Q62,"&lt;20")</f>
        <v>3</v>
      </c>
      <c r="AP62" s="73">
        <f>SUMIF(L62:Q62,"&lt;20")</f>
        <v>15</v>
      </c>
      <c r="AQ62" s="73">
        <f>MAX(L62:Q62)</f>
        <v>8</v>
      </c>
      <c r="AR62" s="73" t="str">
        <f>IF(AO62&gt;4,L62+M62+N62+O62+P62+Q62-AQ62,IF(AO62&lt;5,"Kevés v."))</f>
        <v>Kevés v.</v>
      </c>
      <c r="AT62" s="273" t="str">
        <f>IF(F62=2,IF(E62="felnőtt",8300,IF(E62="ifjúsági",6600,IF(E62="női",6600,IF(E62="gyermek",1000,"")))),"")</f>
        <v/>
      </c>
      <c r="AU62" s="273" t="str">
        <f>IF(F62=3,IF(E62="felnőtt",6300,IF(E62="ifjúsági",4600,IF(E62="női",4600,IF(E62="gyermek",0,"")))),"")</f>
        <v/>
      </c>
      <c r="AV62" s="273" t="str">
        <f>IF(F62=6,IF(E62="felnőtt",41500,IF(E62="ifjúsági",33000,IF(E62="női",33000,IF(E62="gyermek",5000,"")))),"")</f>
        <v/>
      </c>
      <c r="AW62" s="323" t="s">
        <v>365</v>
      </c>
      <c r="AX62" s="274"/>
      <c r="AY62" s="313">
        <f>SUM(AT62:AX62)</f>
        <v>0</v>
      </c>
    </row>
    <row r="63" spans="1:51" x14ac:dyDescent="0.3">
      <c r="A63" s="68">
        <v>23</v>
      </c>
      <c r="B63" s="250" t="s">
        <v>165</v>
      </c>
      <c r="C63" s="250" t="s">
        <v>166</v>
      </c>
      <c r="D63" s="143" t="s">
        <v>116</v>
      </c>
      <c r="E63" s="142" t="s">
        <v>103</v>
      </c>
      <c r="F63" s="145">
        <v>3</v>
      </c>
      <c r="G63" s="66" t="s">
        <v>356</v>
      </c>
      <c r="H63" s="53">
        <v>8</v>
      </c>
      <c r="I63" s="52">
        <v>12400</v>
      </c>
      <c r="J63" s="182">
        <v>3</v>
      </c>
      <c r="K63" s="135"/>
      <c r="L63" s="127">
        <v>1</v>
      </c>
      <c r="M63" s="127">
        <v>3</v>
      </c>
      <c r="N63" s="127">
        <f>IF($G63="",20,$J63)</f>
        <v>3</v>
      </c>
      <c r="O63" s="127"/>
      <c r="P63" s="127"/>
      <c r="Q63" s="127"/>
      <c r="R63" s="128">
        <f>SUM(L63:Q63)</f>
        <v>7</v>
      </c>
      <c r="T63" s="285">
        <v>24600</v>
      </c>
      <c r="U63" s="285">
        <v>20350</v>
      </c>
      <c r="V63" s="285">
        <f>IF($G63="",0,$I63)</f>
        <v>12400</v>
      </c>
      <c r="W63" s="287"/>
      <c r="X63" s="287"/>
      <c r="Y63" s="285"/>
      <c r="Z63" s="286">
        <f>SUM(T63:Y63)</f>
        <v>57350</v>
      </c>
      <c r="AB63" s="62" t="s">
        <v>353</v>
      </c>
      <c r="AC63" s="130">
        <v>7</v>
      </c>
      <c r="AD63" s="62" t="s">
        <v>355</v>
      </c>
      <c r="AE63" s="130">
        <v>1</v>
      </c>
      <c r="AF63" s="62" t="str">
        <f>IF($G63="","-",$G63)</f>
        <v>H</v>
      </c>
      <c r="AG63" s="130">
        <f>IF($G63="","-",$H63)</f>
        <v>8</v>
      </c>
      <c r="AH63" s="62"/>
      <c r="AI63" s="63"/>
      <c r="AJ63" s="130"/>
      <c r="AK63" s="130"/>
      <c r="AL63" s="62"/>
      <c r="AM63" s="63"/>
      <c r="AO63" s="73">
        <f>COUNTIFS(L63:Q63,"&lt;20")</f>
        <v>3</v>
      </c>
      <c r="AP63" s="73">
        <f>SUMIF(L63:Q63,"&lt;20")</f>
        <v>7</v>
      </c>
      <c r="AQ63" s="73">
        <f>MAX(L63:Q63)</f>
        <v>3</v>
      </c>
      <c r="AR63" s="73" t="str">
        <f>IF(AO63&gt;4,L63+M63+N63+O63+P63+Q63-AQ63,IF(AO63&lt;5,"Kevés v."))</f>
        <v>Kevés v.</v>
      </c>
      <c r="AT63" s="273" t="str">
        <f>IF(F63=2,IF(E63="felnőtt",8300,IF(E63="ifjúsági",6600,IF(E63="női",6600,IF(E63="gyermek",1000,"")))),"")</f>
        <v/>
      </c>
      <c r="AU63" s="273">
        <f>IF(F63=3,IF(E63="felnőtt",6300,IF(E63="ifjúsági",4600,IF(E63="női",4600,IF(E63="gyermek",0,"")))),"")</f>
        <v>6300</v>
      </c>
      <c r="AV63" s="273" t="str">
        <f>IF(F63=6,IF(E63="felnőtt",41500,IF(E63="ifjúsági",33000,IF(E63="női",33000,IF(E63="gyermek",5000,"")))),"")</f>
        <v/>
      </c>
      <c r="AW63" s="273" t="str">
        <f>IF(F63=7,IF(E63="felnőtt",31500,IF(E63="ifjúsági",23000,IF(E63="női",23000,IF(E63="gyermek",0,"")))),"")</f>
        <v/>
      </c>
      <c r="AX63" s="274"/>
      <c r="AY63" s="313">
        <f>SUM(AT63:AX63)</f>
        <v>6300</v>
      </c>
    </row>
    <row r="64" spans="1:51" x14ac:dyDescent="0.3">
      <c r="A64" s="68">
        <v>59</v>
      </c>
      <c r="B64" s="141" t="s">
        <v>251</v>
      </c>
      <c r="C64" s="250" t="s">
        <v>252</v>
      </c>
      <c r="D64" s="143" t="s">
        <v>116</v>
      </c>
      <c r="E64" s="142" t="s">
        <v>103</v>
      </c>
      <c r="F64" s="145">
        <v>3</v>
      </c>
      <c r="G64" s="66" t="s">
        <v>356</v>
      </c>
      <c r="H64" s="53">
        <v>6</v>
      </c>
      <c r="I64" s="52">
        <v>12275</v>
      </c>
      <c r="J64" s="182">
        <v>4</v>
      </c>
      <c r="K64" s="135"/>
      <c r="L64" s="127">
        <v>2</v>
      </c>
      <c r="M64" s="127">
        <v>1</v>
      </c>
      <c r="N64" s="127">
        <f>IF($G64="",20,$J64)</f>
        <v>4</v>
      </c>
      <c r="O64" s="127"/>
      <c r="P64" s="127"/>
      <c r="Q64" s="127"/>
      <c r="R64" s="128">
        <f>SUM(L64:Q64)</f>
        <v>7</v>
      </c>
      <c r="T64" s="285">
        <v>22070</v>
      </c>
      <c r="U64" s="285">
        <v>24750</v>
      </c>
      <c r="V64" s="285">
        <f>IF($G64="",0,$I64)</f>
        <v>12275</v>
      </c>
      <c r="W64" s="287"/>
      <c r="X64" s="287"/>
      <c r="Y64" s="285"/>
      <c r="Z64" s="286">
        <f>SUM(T64:Y64)</f>
        <v>59095</v>
      </c>
      <c r="AB64" s="62" t="s">
        <v>354</v>
      </c>
      <c r="AC64" s="130">
        <v>8</v>
      </c>
      <c r="AD64" s="62" t="s">
        <v>363</v>
      </c>
      <c r="AE64" s="130">
        <v>11</v>
      </c>
      <c r="AF64" s="62" t="str">
        <f>IF($G64="","-",$G64)</f>
        <v>H</v>
      </c>
      <c r="AG64" s="130">
        <f>IF($G64="","-",$H64)</f>
        <v>6</v>
      </c>
      <c r="AH64" s="62"/>
      <c r="AI64" s="63"/>
      <c r="AJ64" s="130"/>
      <c r="AK64" s="130"/>
      <c r="AL64" s="62"/>
      <c r="AM64" s="63"/>
      <c r="AO64" s="73">
        <f>COUNTIFS(L64:Q64,"&lt;20")</f>
        <v>3</v>
      </c>
      <c r="AP64" s="73">
        <f>SUMIF(L64:Q64,"&lt;20")</f>
        <v>7</v>
      </c>
      <c r="AQ64" s="73">
        <f>MAX(L64:Q64)</f>
        <v>4</v>
      </c>
      <c r="AR64" s="73" t="str">
        <f>IF(AO64&gt;4,L64+M64+N64+O64+P64+Q64-AQ64,IF(AO64&lt;5,"Kevés v."))</f>
        <v>Kevés v.</v>
      </c>
      <c r="AT64" s="273" t="str">
        <f>IF(F64=2,IF(E64="felnőtt",8300,IF(E64="ifjúsági",6600,IF(E64="női",6600,IF(E64="gyermek",1000,"")))),"")</f>
        <v/>
      </c>
      <c r="AU64" s="273">
        <f>IF(F64=3,IF(E64="felnőtt",6300,IF(E64="ifjúsági",4600,IF(E64="női",4600,IF(E64="gyermek",0,"")))),"")</f>
        <v>6300</v>
      </c>
      <c r="AV64" s="273" t="str">
        <f>IF(F64=6,IF(E64="felnőtt",41500,IF(E64="ifjúsági",33000,IF(E64="női",33000,IF(E64="gyermek",5000,"")))),"")</f>
        <v/>
      </c>
      <c r="AW64" s="273" t="str">
        <f>IF(F64=7,IF(E64="felnőtt",31500,IF(E64="ifjúsági",23000,IF(E64="női",23000,IF(E64="gyermek",0,"")))),"")</f>
        <v/>
      </c>
      <c r="AX64" s="274"/>
      <c r="AY64" s="313">
        <f>SUM(AT64:AX64)</f>
        <v>6300</v>
      </c>
    </row>
    <row r="65" spans="1:51" x14ac:dyDescent="0.3">
      <c r="A65" s="68">
        <v>159</v>
      </c>
      <c r="B65" s="250" t="s">
        <v>437</v>
      </c>
      <c r="C65" s="141" t="s">
        <v>309</v>
      </c>
      <c r="D65" s="143" t="s">
        <v>116</v>
      </c>
      <c r="E65" s="142" t="s">
        <v>103</v>
      </c>
      <c r="F65" s="145"/>
      <c r="G65" s="66" t="s">
        <v>360</v>
      </c>
      <c r="H65" s="53">
        <v>1</v>
      </c>
      <c r="I65" s="52">
        <v>11975</v>
      </c>
      <c r="J65" s="182">
        <v>1</v>
      </c>
      <c r="K65" s="135"/>
      <c r="L65" s="127">
        <v>20</v>
      </c>
      <c r="M65" s="127">
        <v>20</v>
      </c>
      <c r="N65" s="127">
        <f>IF($G65="",20,$J65)</f>
        <v>1</v>
      </c>
      <c r="O65" s="127"/>
      <c r="P65" s="127"/>
      <c r="Q65" s="127"/>
      <c r="R65" s="128">
        <f>SUM(L65:Q65)</f>
        <v>41</v>
      </c>
      <c r="T65" s="285">
        <v>0</v>
      </c>
      <c r="U65" s="285">
        <v>0</v>
      </c>
      <c r="V65" s="285">
        <f>IF($G65="",0,$I65)</f>
        <v>11975</v>
      </c>
      <c r="W65" s="287"/>
      <c r="X65" s="287"/>
      <c r="Y65" s="285"/>
      <c r="Z65" s="286">
        <f>SUM(T65:Y65)</f>
        <v>11975</v>
      </c>
      <c r="AB65" s="62" t="s">
        <v>185</v>
      </c>
      <c r="AC65" s="130" t="s">
        <v>185</v>
      </c>
      <c r="AD65" s="62" t="s">
        <v>185</v>
      </c>
      <c r="AE65" s="130" t="s">
        <v>185</v>
      </c>
      <c r="AF65" s="62" t="str">
        <f>IF($G65="","-",$G65)</f>
        <v>G</v>
      </c>
      <c r="AG65" s="130">
        <f>IF($G65="","-",$H65)</f>
        <v>1</v>
      </c>
      <c r="AH65" s="62"/>
      <c r="AI65" s="63"/>
      <c r="AJ65" s="130"/>
      <c r="AK65" s="130"/>
      <c r="AL65" s="62"/>
      <c r="AM65" s="63"/>
      <c r="AO65" s="73">
        <f>COUNTIFS(L65:Q65,"&lt;20")</f>
        <v>1</v>
      </c>
      <c r="AP65" s="73">
        <f>SUMIF(L65:Q65,"&lt;20")</f>
        <v>1</v>
      </c>
      <c r="AQ65" s="73">
        <f>MAX(L65:Q65)</f>
        <v>20</v>
      </c>
      <c r="AR65" s="73" t="str">
        <f>IF(AO65&gt;4,L65+M65+N65+O65+P65+Q65-AQ65,IF(AO65&lt;5,"Kevés v."))</f>
        <v>Kevés v.</v>
      </c>
      <c r="AT65" s="273" t="str">
        <f>IF(F65=2,IF(E65="felnőtt",8300,IF(E65="ifjúsági",6600,IF(E65="női",6600,IF(E65="gyermek",1000,"")))),"")</f>
        <v/>
      </c>
      <c r="AU65" s="273" t="str">
        <f>IF(F65=3,IF(E65="felnőtt",6300,IF(E65="ifjúsági",4600,IF(E65="női",4600,IF(E65="gyermek",0,"")))),"")</f>
        <v/>
      </c>
      <c r="AV65" s="273" t="str">
        <f>IF(F65=6,IF(E65="felnőtt",41500,IF(E65="ifjúsági",33000,IF(E65="női",33000,IF(E65="gyermek",5000,"")))),"")</f>
        <v/>
      </c>
      <c r="AW65" s="273" t="str">
        <f>IF(F65=7,IF(E65="felnőtt",31500,IF(E65="ifjúsági",23000,IF(E65="női",23000,IF(E65="gyermek",0,"")))),"")</f>
        <v/>
      </c>
      <c r="AX65" s="274"/>
      <c r="AY65" s="313">
        <f>SUM(AT65:AX65)</f>
        <v>0</v>
      </c>
    </row>
    <row r="66" spans="1:51" x14ac:dyDescent="0.3">
      <c r="A66" s="68">
        <v>62</v>
      </c>
      <c r="B66" s="250" t="s">
        <v>255</v>
      </c>
      <c r="C66" s="250" t="s">
        <v>256</v>
      </c>
      <c r="D66" s="143" t="s">
        <v>116</v>
      </c>
      <c r="E66" s="142" t="s">
        <v>103</v>
      </c>
      <c r="F66" s="145">
        <v>3</v>
      </c>
      <c r="G66" s="66" t="s">
        <v>360</v>
      </c>
      <c r="H66" s="53">
        <v>10</v>
      </c>
      <c r="I66" s="52">
        <v>8650</v>
      </c>
      <c r="J66" s="182">
        <v>2</v>
      </c>
      <c r="K66" s="135"/>
      <c r="L66" s="127">
        <v>5</v>
      </c>
      <c r="M66" s="127">
        <v>20</v>
      </c>
      <c r="N66" s="127">
        <f>IF($G66="",20,$J66)</f>
        <v>2</v>
      </c>
      <c r="O66" s="127"/>
      <c r="P66" s="127"/>
      <c r="Q66" s="127"/>
      <c r="R66" s="128">
        <f>SUM(L66:Q66)</f>
        <v>27</v>
      </c>
      <c r="T66" s="285">
        <v>11420</v>
      </c>
      <c r="U66" s="285">
        <v>0</v>
      </c>
      <c r="V66" s="285">
        <f>IF($G66="",0,$I66)</f>
        <v>8650</v>
      </c>
      <c r="W66" s="287"/>
      <c r="X66" s="287"/>
      <c r="Y66" s="285"/>
      <c r="Z66" s="286">
        <f>SUM(T66:Y66)</f>
        <v>20070</v>
      </c>
      <c r="AB66" s="62" t="s">
        <v>357</v>
      </c>
      <c r="AC66" s="130">
        <v>1</v>
      </c>
      <c r="AD66" s="62" t="s">
        <v>185</v>
      </c>
      <c r="AE66" s="130" t="s">
        <v>185</v>
      </c>
      <c r="AF66" s="62" t="str">
        <f>IF($G66="","-",$G66)</f>
        <v>G</v>
      </c>
      <c r="AG66" s="130">
        <f>IF($G66="","-",$H66)</f>
        <v>10</v>
      </c>
      <c r="AH66" s="62"/>
      <c r="AI66" s="63"/>
      <c r="AJ66" s="130"/>
      <c r="AK66" s="130"/>
      <c r="AL66" s="62"/>
      <c r="AM66" s="63"/>
      <c r="AO66" s="73">
        <f>COUNTIFS(L66:Q66,"&lt;20")</f>
        <v>2</v>
      </c>
      <c r="AP66" s="73">
        <f>SUMIF(L66:Q66,"&lt;20")</f>
        <v>7</v>
      </c>
      <c r="AQ66" s="73">
        <f>MAX(L66:Q66)</f>
        <v>20</v>
      </c>
      <c r="AR66" s="73" t="str">
        <f>IF(AO66&gt;4,L66+M66+N66+O66+P66+Q66-AQ66,IF(AO66&lt;5,"Kevés v."))</f>
        <v>Kevés v.</v>
      </c>
      <c r="AT66" s="273" t="str">
        <f>IF(F66=2,IF(E66="felnőtt",8300,IF(E66="ifjúsági",6600,IF(E66="női",6600,IF(E66="gyermek",1000,"")))),"")</f>
        <v/>
      </c>
      <c r="AU66" s="273">
        <f>IF(F66=3,IF(E66="felnőtt",6300,IF(E66="ifjúsági",4600,IF(E66="női",4600,IF(E66="gyermek",0,"")))),"")</f>
        <v>6300</v>
      </c>
      <c r="AV66" s="273" t="str">
        <f>IF(F66=6,IF(E66="felnőtt",41500,IF(E66="ifjúsági",33000,IF(E66="női",33000,IF(E66="gyermek",5000,"")))),"")</f>
        <v/>
      </c>
      <c r="AW66" s="273" t="str">
        <f>IF(F66=7,IF(E66="felnőtt",31500,IF(E66="ifjúsági",23000,IF(E66="női",23000,IF(E66="gyermek",0,"")))),"")</f>
        <v/>
      </c>
      <c r="AX66" s="274"/>
      <c r="AY66" s="313">
        <f>SUM(AT66:AX66)</f>
        <v>6300</v>
      </c>
    </row>
    <row r="67" spans="1:51" x14ac:dyDescent="0.3">
      <c r="A67" s="68">
        <v>37</v>
      </c>
      <c r="B67" s="141" t="s">
        <v>214</v>
      </c>
      <c r="C67" s="250" t="s">
        <v>105</v>
      </c>
      <c r="D67" s="143" t="s">
        <v>116</v>
      </c>
      <c r="E67" s="142" t="s">
        <v>103</v>
      </c>
      <c r="F67" s="145">
        <v>3</v>
      </c>
      <c r="G67" s="66" t="s">
        <v>356</v>
      </c>
      <c r="H67" s="53">
        <v>1</v>
      </c>
      <c r="I67" s="52">
        <v>8100</v>
      </c>
      <c r="J67" s="182">
        <v>5</v>
      </c>
      <c r="K67" s="135"/>
      <c r="L67" s="127">
        <v>4</v>
      </c>
      <c r="M67" s="127">
        <v>20</v>
      </c>
      <c r="N67" s="127">
        <f>IF($G67="",20,$J67)</f>
        <v>5</v>
      </c>
      <c r="O67" s="127"/>
      <c r="P67" s="127"/>
      <c r="Q67" s="127"/>
      <c r="R67" s="128">
        <f>SUM(L67:Q67)</f>
        <v>29</v>
      </c>
      <c r="T67" s="285">
        <v>3425</v>
      </c>
      <c r="U67" s="285">
        <v>0</v>
      </c>
      <c r="V67" s="285">
        <f>IF($G67="",0,$I67)</f>
        <v>8100</v>
      </c>
      <c r="W67" s="287"/>
      <c r="X67" s="287"/>
      <c r="Y67" s="285"/>
      <c r="Z67" s="286">
        <f>SUM(T67:Y67)</f>
        <v>11525</v>
      </c>
      <c r="AB67" s="62" t="s">
        <v>355</v>
      </c>
      <c r="AC67" s="130">
        <v>1</v>
      </c>
      <c r="AD67" s="62" t="s">
        <v>185</v>
      </c>
      <c r="AE67" s="130" t="s">
        <v>185</v>
      </c>
      <c r="AF67" s="62" t="str">
        <f>IF($G67="","-",$G67)</f>
        <v>H</v>
      </c>
      <c r="AG67" s="130">
        <f>IF($G67="","-",$H67)</f>
        <v>1</v>
      </c>
      <c r="AH67" s="62"/>
      <c r="AI67" s="63"/>
      <c r="AJ67" s="130"/>
      <c r="AK67" s="130"/>
      <c r="AL67" s="62"/>
      <c r="AM67" s="63"/>
      <c r="AO67" s="73">
        <f>COUNTIFS(L67:Q67,"&lt;20")</f>
        <v>2</v>
      </c>
      <c r="AP67" s="73">
        <f>SUMIF(L67:Q67,"&lt;20")</f>
        <v>9</v>
      </c>
      <c r="AQ67" s="73">
        <f>MAX(L67:Q67)</f>
        <v>20</v>
      </c>
      <c r="AR67" s="73" t="str">
        <f>IF(AO67&gt;4,L67+M67+N67+O67+P67+Q67-AQ67,IF(AO67&lt;5,"Kevés v."))</f>
        <v>Kevés v.</v>
      </c>
      <c r="AT67" s="273" t="str">
        <f>IF(F67=2,IF(E67="felnőtt",8300,IF(E67="ifjúsági",6600,IF(E67="női",6600,IF(E67="gyermek",1000,"")))),"")</f>
        <v/>
      </c>
      <c r="AU67" s="273">
        <f>IF(F67=3,IF(E67="felnőtt",6300,IF(E67="ifjúsági",4600,IF(E67="női",4600,IF(E67="gyermek",0,"")))),"")</f>
        <v>6300</v>
      </c>
      <c r="AV67" s="273" t="str">
        <f>IF(F67=6,IF(E67="felnőtt",41500,IF(E67="ifjúsági",33000,IF(E67="női",33000,IF(E67="gyermek",5000,"")))),"")</f>
        <v/>
      </c>
      <c r="AW67" s="273" t="str">
        <f>IF(F67=7,IF(E67="felnőtt",31500,IF(E67="ifjúsági",23000,IF(E67="női",23000,IF(E67="gyermek",0,"")))),"")</f>
        <v/>
      </c>
      <c r="AX67" s="274"/>
      <c r="AY67" s="313">
        <f>SUM(AT67:AX67)</f>
        <v>6300</v>
      </c>
    </row>
    <row r="68" spans="1:51" x14ac:dyDescent="0.3">
      <c r="A68" s="68">
        <v>149</v>
      </c>
      <c r="B68" s="47" t="s">
        <v>417</v>
      </c>
      <c r="C68" s="249" t="s">
        <v>418</v>
      </c>
      <c r="D68" s="143" t="s">
        <v>116</v>
      </c>
      <c r="E68" s="69" t="s">
        <v>103</v>
      </c>
      <c r="F68" s="145">
        <v>3</v>
      </c>
      <c r="G68" s="66" t="s">
        <v>360</v>
      </c>
      <c r="H68" s="53">
        <v>3</v>
      </c>
      <c r="I68" s="52">
        <v>5550</v>
      </c>
      <c r="J68" s="182">
        <v>3</v>
      </c>
      <c r="K68" s="135"/>
      <c r="L68" s="127">
        <v>20</v>
      </c>
      <c r="M68" s="127">
        <v>20</v>
      </c>
      <c r="N68" s="127">
        <f>IF($G68="",20,$J68)</f>
        <v>3</v>
      </c>
      <c r="O68" s="127"/>
      <c r="P68" s="127"/>
      <c r="Q68" s="127"/>
      <c r="R68" s="128">
        <f>SUM(L68:Q68)</f>
        <v>43</v>
      </c>
      <c r="T68" s="285">
        <v>0</v>
      </c>
      <c r="U68" s="285">
        <v>0</v>
      </c>
      <c r="V68" s="285">
        <f>IF($G68="",0,$I68)</f>
        <v>5550</v>
      </c>
      <c r="W68" s="287"/>
      <c r="X68" s="287"/>
      <c r="Y68" s="285"/>
      <c r="Z68" s="286">
        <f>SUM(T68:Y68)</f>
        <v>5550</v>
      </c>
      <c r="AB68" s="62" t="s">
        <v>185</v>
      </c>
      <c r="AC68" s="130" t="s">
        <v>185</v>
      </c>
      <c r="AD68" s="62" t="s">
        <v>185</v>
      </c>
      <c r="AE68" s="130" t="s">
        <v>185</v>
      </c>
      <c r="AF68" s="62" t="str">
        <f>IF($G68="","-",$G68)</f>
        <v>G</v>
      </c>
      <c r="AG68" s="130">
        <f>IF($G68="","-",$H68)</f>
        <v>3</v>
      </c>
      <c r="AH68" s="62"/>
      <c r="AI68" s="63"/>
      <c r="AJ68" s="130"/>
      <c r="AK68" s="130"/>
      <c r="AL68" s="62"/>
      <c r="AM68" s="63"/>
      <c r="AO68" s="73">
        <f>COUNTIFS(L68:Q68,"&lt;20")</f>
        <v>1</v>
      </c>
      <c r="AP68" s="73">
        <f>SUMIF(L68:Q68,"&lt;20")</f>
        <v>3</v>
      </c>
      <c r="AQ68" s="73">
        <f>MAX(L68:Q68)</f>
        <v>20</v>
      </c>
      <c r="AR68" s="73" t="str">
        <f>IF(AO68&gt;4,L68+M68+N68+O68+P68+Q68-AQ68,IF(AO68&lt;5,"Kevés v."))</f>
        <v>Kevés v.</v>
      </c>
      <c r="AT68" s="273" t="str">
        <f>IF(F68=2,IF(E68="felnőtt",8300,IF(E68="ifjúsági",6600,IF(E68="női",6600,IF(E68="gyermek",1000,"")))),"")</f>
        <v/>
      </c>
      <c r="AU68" s="273">
        <f>IF(F68=3,IF(E68="felnőtt",6300,IF(E68="ifjúsági",4600,IF(E68="női",4600,IF(E68="gyermek",0,"")))),"")</f>
        <v>6300</v>
      </c>
      <c r="AV68" s="273" t="str">
        <f>IF(F68=6,IF(E68="felnőtt",41500,IF(E68="ifjúsági",33000,IF(E68="női",33000,IF(E68="gyermek",5000,"")))),"")</f>
        <v/>
      </c>
      <c r="AW68" s="273" t="str">
        <f>IF(F68=7,IF(E68="felnőtt",31500,IF(E68="ifjúsági",23000,IF(E68="női",23000,IF(E68="gyermek",0,"")))),"")</f>
        <v/>
      </c>
      <c r="AX68" s="274"/>
      <c r="AY68" s="313">
        <f>SUM(AT68:AX68)</f>
        <v>6300</v>
      </c>
    </row>
    <row r="69" spans="1:51" x14ac:dyDescent="0.3">
      <c r="A69" s="68">
        <v>21</v>
      </c>
      <c r="B69" s="250" t="s">
        <v>162</v>
      </c>
      <c r="C69" s="250" t="s">
        <v>163</v>
      </c>
      <c r="D69" s="143" t="s">
        <v>116</v>
      </c>
      <c r="E69" s="142" t="s">
        <v>103</v>
      </c>
      <c r="F69" s="145">
        <v>2</v>
      </c>
      <c r="G69" s="66" t="s">
        <v>360</v>
      </c>
      <c r="H69" s="53">
        <v>4</v>
      </c>
      <c r="I69" s="52">
        <v>5150</v>
      </c>
      <c r="J69" s="182">
        <v>4</v>
      </c>
      <c r="K69" s="135"/>
      <c r="L69" s="127">
        <v>7</v>
      </c>
      <c r="M69" s="127">
        <v>7</v>
      </c>
      <c r="N69" s="127">
        <f>IF($G69="",20,$J69)</f>
        <v>4</v>
      </c>
      <c r="O69" s="127"/>
      <c r="P69" s="127"/>
      <c r="Q69" s="127"/>
      <c r="R69" s="128">
        <f>SUM(L69:Q69)</f>
        <v>18</v>
      </c>
      <c r="T69" s="285">
        <v>2600</v>
      </c>
      <c r="U69" s="285">
        <v>8350</v>
      </c>
      <c r="V69" s="285">
        <f>IF($G69="",0,$I69)</f>
        <v>5150</v>
      </c>
      <c r="W69" s="287"/>
      <c r="X69" s="287"/>
      <c r="Y69" s="285"/>
      <c r="Z69" s="286">
        <f>SUM(T69:Y69)</f>
        <v>16100</v>
      </c>
      <c r="AB69" s="62" t="s">
        <v>357</v>
      </c>
      <c r="AC69" s="130">
        <v>8</v>
      </c>
      <c r="AD69" s="62" t="s">
        <v>360</v>
      </c>
      <c r="AE69" s="130">
        <v>6</v>
      </c>
      <c r="AF69" s="62" t="str">
        <f>IF($G69="","-",$G69)</f>
        <v>G</v>
      </c>
      <c r="AG69" s="130">
        <f>IF($G69="","-",$H69)</f>
        <v>4</v>
      </c>
      <c r="AH69" s="62"/>
      <c r="AI69" s="63"/>
      <c r="AJ69" s="130"/>
      <c r="AK69" s="130"/>
      <c r="AL69" s="62"/>
      <c r="AM69" s="63"/>
      <c r="AO69" s="73">
        <f>COUNTIFS(L69:Q69,"&lt;20")</f>
        <v>3</v>
      </c>
      <c r="AP69" s="73">
        <f>SUMIF(L69:Q69,"&lt;20")</f>
        <v>18</v>
      </c>
      <c r="AQ69" s="73">
        <f>MAX(L69:Q69)</f>
        <v>7</v>
      </c>
      <c r="AR69" s="73" t="str">
        <f>IF(AO69&gt;4,L69+M69+N69+O69+P69+Q69-AQ69,IF(AO69&lt;5,"Kevés v."))</f>
        <v>Kevés v.</v>
      </c>
      <c r="AT69" s="273">
        <f>IF(F69=2,IF(E69="felnőtt",8300,IF(E69="ifjúsági",6600,IF(E69="női",6600,IF(E69="gyermek",1000,"")))),"")</f>
        <v>8300</v>
      </c>
      <c r="AU69" s="273" t="str">
        <f>IF(F69=3,IF(E69="felnőtt",6300,IF(E69="ifjúsági",4600,IF(E69="női",4600,IF(E69="gyermek",0,"")))),"")</f>
        <v/>
      </c>
      <c r="AV69" s="273" t="str">
        <f>IF(F69=6,IF(E69="felnőtt",41500,IF(E69="ifjúsági",33000,IF(E69="női",33000,IF(E69="gyermek",5000,"")))),"")</f>
        <v/>
      </c>
      <c r="AW69" s="273" t="str">
        <f>IF(F69=7,IF(E69="felnőtt",31500,IF(E69="ifjúsági",23000,IF(E69="női",23000,IF(E69="gyermek",0,"")))),"")</f>
        <v/>
      </c>
      <c r="AX69" s="274">
        <v>2000</v>
      </c>
      <c r="AY69" s="313">
        <f>SUM(AT69:AX69)</f>
        <v>10300</v>
      </c>
    </row>
    <row r="70" spans="1:51" x14ac:dyDescent="0.3">
      <c r="A70" s="68">
        <v>44</v>
      </c>
      <c r="B70" s="141" t="s">
        <v>228</v>
      </c>
      <c r="C70" s="250" t="s">
        <v>229</v>
      </c>
      <c r="D70" s="143" t="s">
        <v>116</v>
      </c>
      <c r="E70" s="142" t="s">
        <v>103</v>
      </c>
      <c r="F70" s="145">
        <v>2</v>
      </c>
      <c r="G70" s="66" t="s">
        <v>356</v>
      </c>
      <c r="H70" s="53">
        <v>2</v>
      </c>
      <c r="I70" s="52">
        <v>4675</v>
      </c>
      <c r="J70" s="182">
        <v>6</v>
      </c>
      <c r="K70" s="135"/>
      <c r="L70" s="127">
        <v>9</v>
      </c>
      <c r="M70" s="127">
        <v>5</v>
      </c>
      <c r="N70" s="127">
        <f>IF($G70="",20,$J70)</f>
        <v>6</v>
      </c>
      <c r="O70" s="127"/>
      <c r="P70" s="127"/>
      <c r="Q70" s="127"/>
      <c r="R70" s="128">
        <f>SUM(L70:Q70)</f>
        <v>20</v>
      </c>
      <c r="T70" s="285">
        <v>1850</v>
      </c>
      <c r="U70" s="285">
        <v>12025</v>
      </c>
      <c r="V70" s="285">
        <f>IF($G70="",0,$I70)</f>
        <v>4675</v>
      </c>
      <c r="W70" s="287"/>
      <c r="X70" s="287"/>
      <c r="Y70" s="285"/>
      <c r="Z70" s="286">
        <f>SUM(T70:Y70)</f>
        <v>18550</v>
      </c>
      <c r="AB70" s="62" t="s">
        <v>357</v>
      </c>
      <c r="AC70" s="130">
        <v>7</v>
      </c>
      <c r="AD70" s="62" t="s">
        <v>355</v>
      </c>
      <c r="AE70" s="130">
        <v>3</v>
      </c>
      <c r="AF70" s="62" t="str">
        <f>IF($G70="","-",$G70)</f>
        <v>H</v>
      </c>
      <c r="AG70" s="130">
        <f>IF($G70="","-",$H70)</f>
        <v>2</v>
      </c>
      <c r="AH70" s="62"/>
      <c r="AI70" s="63"/>
      <c r="AJ70" s="130"/>
      <c r="AK70" s="130"/>
      <c r="AL70" s="62"/>
      <c r="AM70" s="63"/>
      <c r="AO70" s="73">
        <f>COUNTIFS(L70:Q70,"&lt;20")</f>
        <v>3</v>
      </c>
      <c r="AP70" s="73">
        <f>SUMIF(L70:Q70,"&lt;20")</f>
        <v>20</v>
      </c>
      <c r="AQ70" s="73">
        <f>MAX(L70:Q70)</f>
        <v>9</v>
      </c>
      <c r="AR70" s="73" t="str">
        <f>IF(AO70&gt;4,L70+M70+N70+O70+P70+Q70-AQ70,IF(AO70&lt;5,"Kevés v."))</f>
        <v>Kevés v.</v>
      </c>
      <c r="AT70" s="273">
        <f>IF(F70=2,IF(E70="felnőtt",8300,IF(E70="ifjúsági",6600,IF(E70="női",6600,IF(E70="gyermek",1000,"")))),"")</f>
        <v>8300</v>
      </c>
      <c r="AU70" s="273" t="str">
        <f>IF(F70=3,IF(E70="felnőtt",6300,IF(E70="ifjúsági",4600,IF(E70="női",4600,IF(E70="gyermek",0,"")))),"")</f>
        <v/>
      </c>
      <c r="AV70" s="273" t="str">
        <f>IF(F70=6,IF(E70="felnőtt",41500,IF(E70="ifjúsági",33000,IF(E70="női",33000,IF(E70="gyermek",5000,"")))),"")</f>
        <v/>
      </c>
      <c r="AW70" s="273" t="str">
        <f>IF(F70=7,IF(E70="felnőtt",31500,IF(E70="ifjúsági",23000,IF(E70="női",23000,IF(E70="gyermek",0,"")))),"")</f>
        <v/>
      </c>
      <c r="AX70" s="274"/>
      <c r="AY70" s="313">
        <f>SUM(AT70:AX70)</f>
        <v>8300</v>
      </c>
    </row>
    <row r="71" spans="1:51" x14ac:dyDescent="0.3">
      <c r="A71" s="68">
        <v>110</v>
      </c>
      <c r="B71" s="47" t="s">
        <v>328</v>
      </c>
      <c r="C71" s="249" t="s">
        <v>216</v>
      </c>
      <c r="D71" s="70" t="s">
        <v>9</v>
      </c>
      <c r="E71" s="69" t="s">
        <v>11</v>
      </c>
      <c r="F71" s="145">
        <v>3</v>
      </c>
      <c r="G71" s="66" t="s">
        <v>363</v>
      </c>
      <c r="H71" s="53">
        <v>11</v>
      </c>
      <c r="I71" s="52">
        <v>3400</v>
      </c>
      <c r="J71" s="182">
        <v>12</v>
      </c>
      <c r="K71" s="135"/>
      <c r="L71" s="127">
        <v>12</v>
      </c>
      <c r="M71" s="127">
        <v>9</v>
      </c>
      <c r="N71" s="127">
        <f>IF($G71="",20,$J71)</f>
        <v>12</v>
      </c>
      <c r="O71" s="127"/>
      <c r="P71" s="127"/>
      <c r="Q71" s="127"/>
      <c r="R71" s="128">
        <f>SUM(L71:Q71)</f>
        <v>33</v>
      </c>
      <c r="T71" s="285">
        <v>7100</v>
      </c>
      <c r="U71" s="285">
        <v>14050</v>
      </c>
      <c r="V71" s="285">
        <f>IF($G71="",0,$I71)</f>
        <v>3400</v>
      </c>
      <c r="W71" s="287"/>
      <c r="X71" s="287"/>
      <c r="Y71" s="285"/>
      <c r="Z71" s="286">
        <f>SUM(T71:Y71)</f>
        <v>24550</v>
      </c>
      <c r="AB71" s="62" t="s">
        <v>362</v>
      </c>
      <c r="AC71" s="130">
        <v>3</v>
      </c>
      <c r="AD71" s="62" t="s">
        <v>353</v>
      </c>
      <c r="AE71" s="130">
        <v>4</v>
      </c>
      <c r="AF71" s="62" t="str">
        <f>IF($G71="","-",$G71)</f>
        <v>F</v>
      </c>
      <c r="AG71" s="130">
        <f>IF($G71="","-",$H71)</f>
        <v>11</v>
      </c>
      <c r="AH71" s="62"/>
      <c r="AI71" s="63"/>
      <c r="AJ71" s="130"/>
      <c r="AK71" s="130"/>
      <c r="AL71" s="62"/>
      <c r="AM71" s="63"/>
      <c r="AO71" s="73">
        <f>COUNTIFS(L71:Q71,"&lt;20")</f>
        <v>3</v>
      </c>
      <c r="AP71" s="73">
        <f>SUMIF(L71:Q71,"&lt;20")</f>
        <v>33</v>
      </c>
      <c r="AQ71" s="73">
        <f>MAX(L71:Q71)</f>
        <v>12</v>
      </c>
      <c r="AR71" s="73" t="str">
        <f>IF(AO71&gt;4,L71+M71+N71+O71+P71+Q71-AQ71,IF(AO71&lt;5,"Kevés v."))</f>
        <v>Kevés v.</v>
      </c>
      <c r="AT71" s="273" t="str">
        <f>IF(F71=2,IF(E71="felnőtt",8300,IF(E71="ifjúsági",6600,IF(E71="női",6600,IF(E71="gyermek",1000,"")))),"")</f>
        <v/>
      </c>
      <c r="AU71" s="273">
        <f>IF(F71=3,IF(E71="felnőtt",6300,IF(E71="ifjúsági",4600,IF(E71="női",4600,IF(E71="gyermek",0,"")))),"")</f>
        <v>4600</v>
      </c>
      <c r="AV71" s="273" t="str">
        <f>IF(F71=6,IF(E71="felnőtt",41500,IF(E71="ifjúsági",33000,IF(E71="női",33000,IF(E71="gyermek",5000,"")))),"")</f>
        <v/>
      </c>
      <c r="AW71" s="273" t="str">
        <f>IF(F71=7,IF(E71="felnőtt",31500,IF(E71="ifjúsági",23000,IF(E71="női",23000,IF(E71="gyermek",0,"")))),"")</f>
        <v/>
      </c>
      <c r="AX71" s="274"/>
      <c r="AY71" s="313">
        <f>SUM(AT71:AX71)</f>
        <v>4600</v>
      </c>
    </row>
    <row r="72" spans="1:51" x14ac:dyDescent="0.3">
      <c r="A72" s="68">
        <v>12</v>
      </c>
      <c r="B72" s="141" t="s">
        <v>147</v>
      </c>
      <c r="C72" s="250" t="s">
        <v>148</v>
      </c>
      <c r="D72" s="143" t="s">
        <v>116</v>
      </c>
      <c r="E72" s="142" t="s">
        <v>103</v>
      </c>
      <c r="F72" s="145">
        <v>3</v>
      </c>
      <c r="G72" s="66" t="s">
        <v>360</v>
      </c>
      <c r="H72" s="53">
        <v>2</v>
      </c>
      <c r="I72" s="52">
        <v>4100</v>
      </c>
      <c r="J72" s="182">
        <v>6</v>
      </c>
      <c r="K72" s="135"/>
      <c r="L72" s="127">
        <v>4</v>
      </c>
      <c r="M72" s="127">
        <v>8</v>
      </c>
      <c r="N72" s="127">
        <f>IF($G72="",20,$J72)</f>
        <v>6</v>
      </c>
      <c r="O72" s="127"/>
      <c r="P72" s="127"/>
      <c r="Q72" s="127"/>
      <c r="R72" s="128">
        <f>SUM(L72:Q72)</f>
        <v>18</v>
      </c>
      <c r="T72" s="285">
        <v>12200</v>
      </c>
      <c r="U72" s="285">
        <v>4600</v>
      </c>
      <c r="V72" s="285">
        <f>IF($G72="",0,$I72)</f>
        <v>4100</v>
      </c>
      <c r="W72" s="287"/>
      <c r="X72" s="287"/>
      <c r="Y72" s="285"/>
      <c r="Z72" s="286">
        <f>SUM(T72:Y72)</f>
        <v>20900</v>
      </c>
      <c r="AB72" s="62" t="s">
        <v>354</v>
      </c>
      <c r="AC72" s="130">
        <v>5</v>
      </c>
      <c r="AD72" s="62" t="s">
        <v>355</v>
      </c>
      <c r="AE72" s="130">
        <v>4</v>
      </c>
      <c r="AF72" s="62" t="str">
        <f>IF($G72="","-",$G72)</f>
        <v>G</v>
      </c>
      <c r="AG72" s="130">
        <f>IF($G72="","-",$H72)</f>
        <v>2</v>
      </c>
      <c r="AH72" s="62"/>
      <c r="AI72" s="63"/>
      <c r="AJ72" s="130"/>
      <c r="AK72" s="130"/>
      <c r="AL72" s="62"/>
      <c r="AM72" s="63"/>
      <c r="AO72" s="73">
        <f>COUNTIFS(L72:Q72,"&lt;20")</f>
        <v>3</v>
      </c>
      <c r="AP72" s="73">
        <f>SUMIF(L72:Q72,"&lt;20")</f>
        <v>18</v>
      </c>
      <c r="AQ72" s="73">
        <f>MAX(L72:Q72)</f>
        <v>8</v>
      </c>
      <c r="AR72" s="73" t="str">
        <f>IF(AO72&gt;4,L72+M72+N72+O72+P72+Q72-AQ72,IF(AO72&lt;5,"Kevés v."))</f>
        <v>Kevés v.</v>
      </c>
      <c r="AT72" s="273" t="str">
        <f>IF(F72=2,IF(E72="felnőtt",8300,IF(E72="ifjúsági",6600,IF(E72="női",6600,IF(E72="gyermek",1000,"")))),"")</f>
        <v/>
      </c>
      <c r="AU72" s="273">
        <f>IF(F72=3,IF(E72="felnőtt",6300,IF(E72="ifjúsági",4600,IF(E72="női",4600,IF(E72="gyermek",0,"")))),"")</f>
        <v>6300</v>
      </c>
      <c r="AV72" s="273" t="str">
        <f>IF(F72=6,IF(E72="felnőtt",41500,IF(E72="ifjúsági",33000,IF(E72="női",33000,IF(E72="gyermek",5000,"")))),"")</f>
        <v/>
      </c>
      <c r="AW72" s="273" t="str">
        <f>IF(F72=7,IF(E72="felnőtt",31500,IF(E72="ifjúsági",23000,IF(E72="női",23000,IF(E72="gyermek",0,"")))),"")</f>
        <v/>
      </c>
      <c r="AX72" s="274"/>
      <c r="AY72" s="313">
        <f>SUM(AT72:AX72)</f>
        <v>6300</v>
      </c>
    </row>
    <row r="73" spans="1:51" x14ac:dyDescent="0.3">
      <c r="A73" s="68">
        <v>158</v>
      </c>
      <c r="B73" s="250" t="s">
        <v>431</v>
      </c>
      <c r="C73" s="250" t="s">
        <v>309</v>
      </c>
      <c r="D73" s="143" t="s">
        <v>116</v>
      </c>
      <c r="E73" s="142" t="s">
        <v>103</v>
      </c>
      <c r="F73" s="145">
        <v>3</v>
      </c>
      <c r="G73" s="66" t="s">
        <v>360</v>
      </c>
      <c r="H73" s="53">
        <v>8</v>
      </c>
      <c r="I73" s="52">
        <v>3450</v>
      </c>
      <c r="J73" s="182">
        <v>7</v>
      </c>
      <c r="K73" s="135"/>
      <c r="L73" s="127">
        <v>20</v>
      </c>
      <c r="M73" s="127">
        <v>20</v>
      </c>
      <c r="N73" s="127">
        <f>IF($G73="",20,$J73)</f>
        <v>7</v>
      </c>
      <c r="O73" s="127"/>
      <c r="P73" s="127"/>
      <c r="Q73" s="127"/>
      <c r="R73" s="128">
        <f>SUM(L73:Q73)</f>
        <v>47</v>
      </c>
      <c r="T73" s="285">
        <v>0</v>
      </c>
      <c r="U73" s="285">
        <v>0</v>
      </c>
      <c r="V73" s="285">
        <f>IF($G73="",0,$I73)</f>
        <v>3450</v>
      </c>
      <c r="W73" s="287"/>
      <c r="X73" s="287"/>
      <c r="Y73" s="285"/>
      <c r="Z73" s="286">
        <f>SUM(T73:Y73)</f>
        <v>3450</v>
      </c>
      <c r="AB73" s="62" t="s">
        <v>185</v>
      </c>
      <c r="AC73" s="130" t="s">
        <v>185</v>
      </c>
      <c r="AD73" s="62" t="s">
        <v>185</v>
      </c>
      <c r="AE73" s="130" t="s">
        <v>185</v>
      </c>
      <c r="AF73" s="62" t="str">
        <f>IF($G73="","-",$G73)</f>
        <v>G</v>
      </c>
      <c r="AG73" s="130">
        <f>IF($G73="","-",$H73)</f>
        <v>8</v>
      </c>
      <c r="AH73" s="62"/>
      <c r="AI73" s="63"/>
      <c r="AJ73" s="130"/>
      <c r="AK73" s="130"/>
      <c r="AL73" s="62"/>
      <c r="AM73" s="63"/>
      <c r="AO73" s="73">
        <f>COUNTIFS(L73:Q73,"&lt;20")</f>
        <v>1</v>
      </c>
      <c r="AP73" s="73">
        <f>SUMIF(L73:Q73,"&lt;20")</f>
        <v>7</v>
      </c>
      <c r="AQ73" s="73">
        <f>MAX(L73:Q73)</f>
        <v>20</v>
      </c>
      <c r="AR73" s="73" t="str">
        <f>IF(AO73&gt;4,L73+M73+N73+O73+P73+Q73-AQ73,IF(AO73&lt;5,"Kevés v."))</f>
        <v>Kevés v.</v>
      </c>
      <c r="AT73" s="273" t="str">
        <f>IF(F73=2,IF(E73="felnőtt",8300,IF(E73="ifjúsági",6600,IF(E73="női",6600,IF(E73="gyermek",1000,"")))),"")</f>
        <v/>
      </c>
      <c r="AU73" s="273">
        <f>IF(F73=3,IF(E73="felnőtt",6300,IF(E73="ifjúsági",4600,IF(E73="női",4600,IF(E73="gyermek",0,"")))),"")</f>
        <v>6300</v>
      </c>
      <c r="AV73" s="273" t="str">
        <f>IF(F73=6,IF(E73="felnőtt",41500,IF(E73="ifjúsági",33000,IF(E73="női",33000,IF(E73="gyermek",5000,"")))),"")</f>
        <v/>
      </c>
      <c r="AW73" s="273" t="str">
        <f>IF(F73=7,IF(E73="felnőtt",31500,IF(E73="ifjúsági",23000,IF(E73="női",23000,IF(E73="gyermek",0,"")))),"")</f>
        <v/>
      </c>
      <c r="AX73" s="274"/>
      <c r="AY73" s="313">
        <f>SUM(AT73:AX73)</f>
        <v>6300</v>
      </c>
    </row>
    <row r="74" spans="1:51" x14ac:dyDescent="0.3">
      <c r="A74" s="71">
        <v>135</v>
      </c>
      <c r="B74" s="47" t="s">
        <v>389</v>
      </c>
      <c r="C74" s="249" t="s">
        <v>351</v>
      </c>
      <c r="D74" s="70" t="s">
        <v>116</v>
      </c>
      <c r="E74" s="69" t="s">
        <v>11</v>
      </c>
      <c r="F74" s="145">
        <v>3</v>
      </c>
      <c r="G74" s="66" t="s">
        <v>356</v>
      </c>
      <c r="H74" s="53">
        <v>7</v>
      </c>
      <c r="I74" s="52">
        <v>3375</v>
      </c>
      <c r="J74" s="182">
        <v>7</v>
      </c>
      <c r="K74" s="135"/>
      <c r="L74" s="127">
        <v>20</v>
      </c>
      <c r="M74" s="127">
        <v>9</v>
      </c>
      <c r="N74" s="127">
        <f>IF($G74="",20,$J74)</f>
        <v>7</v>
      </c>
      <c r="O74" s="127"/>
      <c r="P74" s="127"/>
      <c r="Q74" s="127"/>
      <c r="R74" s="128">
        <f>SUM(L74:Q74)</f>
        <v>36</v>
      </c>
      <c r="T74" s="285">
        <v>0</v>
      </c>
      <c r="U74" s="285">
        <v>3575</v>
      </c>
      <c r="V74" s="285">
        <f>IF($G74="",0,$I74)</f>
        <v>3375</v>
      </c>
      <c r="W74" s="287"/>
      <c r="X74" s="287"/>
      <c r="Y74" s="285"/>
      <c r="Z74" s="286">
        <f>SUM(T74:Y74)</f>
        <v>6950</v>
      </c>
      <c r="AB74" s="62" t="s">
        <v>185</v>
      </c>
      <c r="AC74" s="130" t="s">
        <v>185</v>
      </c>
      <c r="AD74" s="62" t="s">
        <v>355</v>
      </c>
      <c r="AE74" s="130">
        <v>9</v>
      </c>
      <c r="AF74" s="62" t="str">
        <f>IF($G74="","-",$G74)</f>
        <v>H</v>
      </c>
      <c r="AG74" s="130">
        <f>IF($G74="","-",$H74)</f>
        <v>7</v>
      </c>
      <c r="AH74" s="62"/>
      <c r="AI74" s="63"/>
      <c r="AJ74" s="130"/>
      <c r="AK74" s="130"/>
      <c r="AL74" s="62"/>
      <c r="AM74" s="63"/>
      <c r="AO74" s="73">
        <f>COUNTIFS(L74:Q74,"&lt;20")</f>
        <v>2</v>
      </c>
      <c r="AP74" s="73">
        <f>SUMIF(L74:Q74,"&lt;20")</f>
        <v>16</v>
      </c>
      <c r="AQ74" s="73">
        <f>MAX(L74:Q74)</f>
        <v>20</v>
      </c>
      <c r="AR74" s="73" t="str">
        <f>IF(AO74&gt;4,L74+M74+N74+O74+P74+Q74-AQ74,IF(AO74&lt;5,"Kevés v."))</f>
        <v>Kevés v.</v>
      </c>
      <c r="AT74" s="273" t="str">
        <f>IF(F74=2,IF(E74="felnőtt",8300,IF(E74="ifjúsági",6600,IF(E74="női",6600,IF(E74="gyermek",1000,"")))),"")</f>
        <v/>
      </c>
      <c r="AU74" s="273">
        <f>IF(F74=3,IF(E74="felnőtt",6300,IF(E74="ifjúsági",4600,IF(E74="női",4600,IF(E74="gyermek",0,"")))),"")</f>
        <v>4600</v>
      </c>
      <c r="AV74" s="273" t="str">
        <f>IF(F74=6,IF(E74="felnőtt",41500,IF(E74="ifjúsági",33000,IF(E74="női",33000,IF(E74="gyermek",5000,"")))),"")</f>
        <v/>
      </c>
      <c r="AW74" s="273" t="str">
        <f>IF(F74=7,IF(E74="felnőtt",31500,IF(E74="ifjúsági",23000,IF(E74="női",23000,IF(E74="gyermek",0,"")))),"")</f>
        <v/>
      </c>
      <c r="AX74" s="274"/>
      <c r="AY74" s="313">
        <f>SUM(AT74:AX74)</f>
        <v>4600</v>
      </c>
    </row>
    <row r="75" spans="1:51" x14ac:dyDescent="0.3">
      <c r="A75" s="68">
        <v>11</v>
      </c>
      <c r="B75" s="250" t="s">
        <v>145</v>
      </c>
      <c r="C75" s="250" t="s">
        <v>146</v>
      </c>
      <c r="D75" s="143" t="s">
        <v>116</v>
      </c>
      <c r="E75" s="142" t="s">
        <v>103</v>
      </c>
      <c r="F75" s="145"/>
      <c r="G75" s="66" t="s">
        <v>360</v>
      </c>
      <c r="H75" s="53">
        <v>5</v>
      </c>
      <c r="I75" s="52">
        <v>3275</v>
      </c>
      <c r="J75" s="182">
        <v>8</v>
      </c>
      <c r="K75" s="135"/>
      <c r="L75" s="127">
        <v>9</v>
      </c>
      <c r="M75" s="127">
        <v>10</v>
      </c>
      <c r="N75" s="127">
        <f t="shared" ref="N70:N79" si="30">IF($G75="",20,$J75)</f>
        <v>8</v>
      </c>
      <c r="O75" s="127"/>
      <c r="P75" s="127"/>
      <c r="Q75" s="127"/>
      <c r="R75" s="128">
        <f t="shared" ref="R70:R101" si="31">SUM(L75:Q75)</f>
        <v>27</v>
      </c>
      <c r="T75" s="285">
        <v>2225</v>
      </c>
      <c r="U75" s="285">
        <v>4525</v>
      </c>
      <c r="V75" s="285">
        <f t="shared" ref="V70:V79" si="32">IF($G75="",0,$I75)</f>
        <v>3275</v>
      </c>
      <c r="W75" s="287"/>
      <c r="X75" s="287"/>
      <c r="Y75" s="285"/>
      <c r="Z75" s="286">
        <f t="shared" ref="Z70:Z101" si="33">SUM(T75:Y75)</f>
        <v>10025</v>
      </c>
      <c r="AB75" s="62" t="s">
        <v>352</v>
      </c>
      <c r="AC75" s="130">
        <v>7</v>
      </c>
      <c r="AD75" s="62" t="s">
        <v>360</v>
      </c>
      <c r="AE75" s="130">
        <v>5</v>
      </c>
      <c r="AF75" s="62" t="str">
        <f t="shared" ref="AF70:AF79" si="34">IF($G75="","-",$G75)</f>
        <v>G</v>
      </c>
      <c r="AG75" s="130">
        <f t="shared" ref="AG70:AG79" si="35">IF($G75="","-",$H75)</f>
        <v>5</v>
      </c>
      <c r="AH75" s="62"/>
      <c r="AI75" s="63"/>
      <c r="AJ75" s="130"/>
      <c r="AK75" s="130"/>
      <c r="AL75" s="62"/>
      <c r="AM75" s="63"/>
      <c r="AO75" s="73">
        <f t="shared" ref="AO70:AO79" si="36">COUNTIFS(L75:Q75,"&lt;20")</f>
        <v>3</v>
      </c>
      <c r="AP75" s="73">
        <f t="shared" ref="AP70:AP79" si="37">SUMIF(L75:Q75,"&lt;20")</f>
        <v>27</v>
      </c>
      <c r="AQ75" s="73">
        <f t="shared" ref="AQ70:AQ79" si="38">MAX(L75:Q75)</f>
        <v>10</v>
      </c>
      <c r="AR75" s="73" t="str">
        <f t="shared" ref="AR70:AR101" si="39">IF(AO75&gt;4,L75+M75+N75+O75+P75+Q75-AQ75,IF(AO75&lt;5,"Kevés v."))</f>
        <v>Kevés v.</v>
      </c>
      <c r="AT75" s="273" t="str">
        <f t="shared" ref="AT70:AT79" si="40">IF(F75=2,IF(E75="felnőtt",8300,IF(E75="ifjúsági",6600,IF(E75="női",6600,IF(E75="gyermek",1000,"")))),"")</f>
        <v/>
      </c>
      <c r="AU75" s="273" t="str">
        <f t="shared" ref="AU54:AU79" si="41">IF(F75=3,IF(E75="felnőtt",6300,IF(E75="ifjúsági",4600,IF(E75="női",4600,IF(E75="gyermek",0,"")))),"")</f>
        <v/>
      </c>
      <c r="AV75" s="273" t="s">
        <v>366</v>
      </c>
      <c r="AW75" s="273" t="str">
        <f t="shared" ref="AW63:AW79" si="42">IF(F75=7,IF(E75="felnőtt",31500,IF(E75="ifjúsági",23000,IF(E75="női",23000,IF(E75="gyermek",0,"")))),"")</f>
        <v/>
      </c>
      <c r="AX75" s="274"/>
      <c r="AY75" s="313">
        <f t="shared" ref="AY70:AY101" si="43">SUM(AT75:AX75)</f>
        <v>0</v>
      </c>
    </row>
    <row r="76" spans="1:51" x14ac:dyDescent="0.3">
      <c r="A76" s="68">
        <v>48</v>
      </c>
      <c r="B76" s="141" t="s">
        <v>234</v>
      </c>
      <c r="C76" s="141" t="s">
        <v>166</v>
      </c>
      <c r="D76" s="143" t="s">
        <v>116</v>
      </c>
      <c r="E76" s="142" t="s">
        <v>103</v>
      </c>
      <c r="F76" s="145">
        <v>2</v>
      </c>
      <c r="G76" s="66" t="s">
        <v>356</v>
      </c>
      <c r="H76" s="53">
        <v>4</v>
      </c>
      <c r="I76" s="52">
        <v>3175</v>
      </c>
      <c r="J76" s="182">
        <v>8</v>
      </c>
      <c r="K76" s="135"/>
      <c r="L76" s="127">
        <v>2</v>
      </c>
      <c r="M76" s="127">
        <v>11</v>
      </c>
      <c r="N76" s="127">
        <f t="shared" si="30"/>
        <v>8</v>
      </c>
      <c r="O76" s="127"/>
      <c r="P76" s="127"/>
      <c r="Q76" s="127"/>
      <c r="R76" s="128">
        <f t="shared" si="31"/>
        <v>21</v>
      </c>
      <c r="T76" s="285">
        <v>16500</v>
      </c>
      <c r="U76" s="285">
        <v>4175</v>
      </c>
      <c r="V76" s="285">
        <f t="shared" si="32"/>
        <v>3175</v>
      </c>
      <c r="W76" s="287"/>
      <c r="X76" s="287"/>
      <c r="Y76" s="285"/>
      <c r="Z76" s="286">
        <f t="shared" si="33"/>
        <v>23850</v>
      </c>
      <c r="AB76" s="62" t="s">
        <v>352</v>
      </c>
      <c r="AC76" s="130">
        <v>4</v>
      </c>
      <c r="AD76" s="62" t="s">
        <v>360</v>
      </c>
      <c r="AE76" s="130">
        <v>1</v>
      </c>
      <c r="AF76" s="62" t="str">
        <f t="shared" si="34"/>
        <v>H</v>
      </c>
      <c r="AG76" s="130">
        <f t="shared" si="35"/>
        <v>4</v>
      </c>
      <c r="AH76" s="62"/>
      <c r="AI76" s="63"/>
      <c r="AJ76" s="130"/>
      <c r="AK76" s="130"/>
      <c r="AL76" s="62"/>
      <c r="AM76" s="63"/>
      <c r="AO76" s="73">
        <f t="shared" si="36"/>
        <v>3</v>
      </c>
      <c r="AP76" s="73">
        <f t="shared" si="37"/>
        <v>21</v>
      </c>
      <c r="AQ76" s="73">
        <f t="shared" si="38"/>
        <v>11</v>
      </c>
      <c r="AR76" s="73" t="str">
        <f t="shared" si="39"/>
        <v>Kevés v.</v>
      </c>
      <c r="AT76" s="273">
        <f t="shared" si="40"/>
        <v>8300</v>
      </c>
      <c r="AU76" s="273" t="str">
        <f t="shared" si="41"/>
        <v/>
      </c>
      <c r="AV76" s="273" t="str">
        <f>IF(F76=6,IF(E76="felnőtt",41500,IF(E76="ifjúsági",33000,IF(E76="női",33000,IF(E76="gyermek",5000,"")))),"")</f>
        <v/>
      </c>
      <c r="AW76" s="273" t="str">
        <f t="shared" si="42"/>
        <v/>
      </c>
      <c r="AX76" s="274"/>
      <c r="AY76" s="313">
        <f t="shared" si="43"/>
        <v>8300</v>
      </c>
    </row>
    <row r="77" spans="1:51" x14ac:dyDescent="0.3">
      <c r="A77" s="68">
        <v>95</v>
      </c>
      <c r="B77" s="141" t="s">
        <v>307</v>
      </c>
      <c r="C77" s="250" t="s">
        <v>105</v>
      </c>
      <c r="D77" s="143" t="s">
        <v>116</v>
      </c>
      <c r="E77" s="142" t="s">
        <v>103</v>
      </c>
      <c r="F77" s="145">
        <v>3</v>
      </c>
      <c r="G77" s="66" t="s">
        <v>360</v>
      </c>
      <c r="H77" s="53">
        <v>6</v>
      </c>
      <c r="I77" s="52">
        <v>3050</v>
      </c>
      <c r="J77" s="182">
        <v>9</v>
      </c>
      <c r="K77" s="135"/>
      <c r="L77" s="127">
        <v>8</v>
      </c>
      <c r="M77" s="127">
        <v>10</v>
      </c>
      <c r="N77" s="127">
        <f t="shared" si="30"/>
        <v>9</v>
      </c>
      <c r="O77" s="127"/>
      <c r="P77" s="127"/>
      <c r="Q77" s="127"/>
      <c r="R77" s="128">
        <f t="shared" si="31"/>
        <v>27</v>
      </c>
      <c r="T77" s="285">
        <v>2525</v>
      </c>
      <c r="U77" s="285">
        <v>5875</v>
      </c>
      <c r="V77" s="285">
        <f t="shared" si="32"/>
        <v>3050</v>
      </c>
      <c r="W77" s="287"/>
      <c r="X77" s="287"/>
      <c r="Y77" s="285"/>
      <c r="Z77" s="286">
        <f t="shared" si="33"/>
        <v>11450</v>
      </c>
      <c r="AB77" s="62" t="s">
        <v>357</v>
      </c>
      <c r="AC77" s="130">
        <v>5</v>
      </c>
      <c r="AD77" s="62" t="s">
        <v>363</v>
      </c>
      <c r="AE77" s="130">
        <v>1</v>
      </c>
      <c r="AF77" s="62" t="str">
        <f t="shared" si="34"/>
        <v>G</v>
      </c>
      <c r="AG77" s="130">
        <f t="shared" si="35"/>
        <v>6</v>
      </c>
      <c r="AH77" s="62"/>
      <c r="AI77" s="63"/>
      <c r="AJ77" s="130"/>
      <c r="AK77" s="130"/>
      <c r="AL77" s="62"/>
      <c r="AM77" s="63"/>
      <c r="AO77" s="73">
        <f t="shared" si="36"/>
        <v>3</v>
      </c>
      <c r="AP77" s="73">
        <f t="shared" si="37"/>
        <v>27</v>
      </c>
      <c r="AQ77" s="73">
        <f t="shared" si="38"/>
        <v>10</v>
      </c>
      <c r="AR77" s="73" t="str">
        <f t="shared" si="39"/>
        <v>Kevés v.</v>
      </c>
      <c r="AT77" s="273" t="str">
        <f t="shared" si="40"/>
        <v/>
      </c>
      <c r="AU77" s="273">
        <f t="shared" si="41"/>
        <v>6300</v>
      </c>
      <c r="AV77" s="273" t="str">
        <f>IF(F77=6,IF(E77="felnőtt",41500,IF(E77="ifjúsági",33000,IF(E77="női",33000,IF(E77="gyermek",5000,"")))),"")</f>
        <v/>
      </c>
      <c r="AW77" s="273" t="str">
        <f t="shared" si="42"/>
        <v/>
      </c>
      <c r="AX77" s="274"/>
      <c r="AY77" s="313">
        <f t="shared" si="43"/>
        <v>6300</v>
      </c>
    </row>
    <row r="78" spans="1:51" x14ac:dyDescent="0.3">
      <c r="A78" s="71">
        <v>130</v>
      </c>
      <c r="B78" s="249" t="s">
        <v>381</v>
      </c>
      <c r="C78" s="249" t="s">
        <v>342</v>
      </c>
      <c r="D78" s="70" t="s">
        <v>116</v>
      </c>
      <c r="E78" s="69" t="s">
        <v>103</v>
      </c>
      <c r="F78" s="145">
        <v>3</v>
      </c>
      <c r="G78" s="66" t="s">
        <v>360</v>
      </c>
      <c r="H78" s="53">
        <v>7</v>
      </c>
      <c r="I78" s="52">
        <v>0</v>
      </c>
      <c r="J78" s="182">
        <v>12</v>
      </c>
      <c r="K78" s="135"/>
      <c r="L78" s="127">
        <v>20</v>
      </c>
      <c r="M78" s="127">
        <v>6</v>
      </c>
      <c r="N78" s="127">
        <f t="shared" si="30"/>
        <v>12</v>
      </c>
      <c r="O78" s="127"/>
      <c r="P78" s="127"/>
      <c r="Q78" s="127"/>
      <c r="R78" s="128">
        <f t="shared" si="31"/>
        <v>38</v>
      </c>
      <c r="T78" s="285">
        <v>0</v>
      </c>
      <c r="U78" s="285">
        <v>9125</v>
      </c>
      <c r="V78" s="285">
        <f t="shared" si="32"/>
        <v>0</v>
      </c>
      <c r="W78" s="287"/>
      <c r="X78" s="287"/>
      <c r="Y78" s="285"/>
      <c r="Z78" s="286">
        <f t="shared" si="33"/>
        <v>9125</v>
      </c>
      <c r="AB78" s="62" t="s">
        <v>185</v>
      </c>
      <c r="AC78" s="130" t="s">
        <v>185</v>
      </c>
      <c r="AD78" s="62" t="s">
        <v>363</v>
      </c>
      <c r="AE78" s="130">
        <v>2</v>
      </c>
      <c r="AF78" s="62" t="str">
        <f t="shared" si="34"/>
        <v>G</v>
      </c>
      <c r="AG78" s="130">
        <f t="shared" si="35"/>
        <v>7</v>
      </c>
      <c r="AH78" s="62"/>
      <c r="AI78" s="63"/>
      <c r="AJ78" s="130"/>
      <c r="AK78" s="130"/>
      <c r="AL78" s="62"/>
      <c r="AM78" s="63"/>
      <c r="AO78" s="73">
        <f t="shared" si="36"/>
        <v>2</v>
      </c>
      <c r="AP78" s="73">
        <f t="shared" si="37"/>
        <v>18</v>
      </c>
      <c r="AQ78" s="73">
        <f t="shared" si="38"/>
        <v>20</v>
      </c>
      <c r="AR78" s="73" t="str">
        <f t="shared" si="39"/>
        <v>Kevés v.</v>
      </c>
      <c r="AT78" s="273" t="str">
        <f t="shared" si="40"/>
        <v/>
      </c>
      <c r="AU78" s="273">
        <f t="shared" si="41"/>
        <v>6300</v>
      </c>
      <c r="AV78" s="273" t="str">
        <f>IF(F78=6,IF(E78="felnőtt",41500,IF(E78="ifjúsági",33000,IF(E78="női",33000,IF(E78="gyermek",5000,"")))),"")</f>
        <v/>
      </c>
      <c r="AW78" s="273" t="str">
        <f t="shared" si="42"/>
        <v/>
      </c>
      <c r="AX78" s="274"/>
      <c r="AY78" s="313">
        <f t="shared" si="43"/>
        <v>6300</v>
      </c>
    </row>
    <row r="79" spans="1:51" x14ac:dyDescent="0.3">
      <c r="A79" s="71">
        <v>148</v>
      </c>
      <c r="B79" s="249" t="s">
        <v>416</v>
      </c>
      <c r="C79" s="249" t="s">
        <v>146</v>
      </c>
      <c r="D79" s="70" t="s">
        <v>116</v>
      </c>
      <c r="E79" s="69" t="s">
        <v>103</v>
      </c>
      <c r="F79" s="145">
        <v>3</v>
      </c>
      <c r="G79" s="66" t="s">
        <v>356</v>
      </c>
      <c r="H79" s="53">
        <v>9</v>
      </c>
      <c r="I79" s="52">
        <v>0</v>
      </c>
      <c r="J79" s="182">
        <v>12</v>
      </c>
      <c r="K79" s="135"/>
      <c r="L79" s="127">
        <v>20</v>
      </c>
      <c r="M79" s="127">
        <v>20</v>
      </c>
      <c r="N79" s="127">
        <f t="shared" si="30"/>
        <v>12</v>
      </c>
      <c r="O79" s="127"/>
      <c r="P79" s="127"/>
      <c r="Q79" s="127"/>
      <c r="R79" s="128">
        <f t="shared" si="31"/>
        <v>52</v>
      </c>
      <c r="T79" s="285">
        <v>0</v>
      </c>
      <c r="U79" s="285">
        <v>0</v>
      </c>
      <c r="V79" s="285">
        <f t="shared" si="32"/>
        <v>0</v>
      </c>
      <c r="W79" s="287"/>
      <c r="X79" s="287"/>
      <c r="Y79" s="285"/>
      <c r="Z79" s="286">
        <f t="shared" si="33"/>
        <v>0</v>
      </c>
      <c r="AB79" s="62" t="s">
        <v>185</v>
      </c>
      <c r="AC79" s="130" t="s">
        <v>185</v>
      </c>
      <c r="AD79" s="62" t="s">
        <v>185</v>
      </c>
      <c r="AE79" s="130" t="s">
        <v>185</v>
      </c>
      <c r="AF79" s="62" t="str">
        <f t="shared" si="34"/>
        <v>H</v>
      </c>
      <c r="AG79" s="130">
        <f t="shared" si="35"/>
        <v>9</v>
      </c>
      <c r="AH79" s="62"/>
      <c r="AI79" s="63"/>
      <c r="AJ79" s="130"/>
      <c r="AK79" s="130"/>
      <c r="AL79" s="62"/>
      <c r="AM79" s="63"/>
      <c r="AO79" s="73">
        <f t="shared" si="36"/>
        <v>1</v>
      </c>
      <c r="AP79" s="73">
        <f t="shared" si="37"/>
        <v>12</v>
      </c>
      <c r="AQ79" s="73">
        <f t="shared" si="38"/>
        <v>20</v>
      </c>
      <c r="AR79" s="73" t="str">
        <f t="shared" si="39"/>
        <v>Kevés v.</v>
      </c>
      <c r="AT79" s="273" t="str">
        <f t="shared" si="40"/>
        <v/>
      </c>
      <c r="AU79" s="273">
        <f t="shared" si="41"/>
        <v>6300</v>
      </c>
      <c r="AV79" s="273" t="str">
        <f>IF(F79=6,IF(E79="felnőtt",41500,IF(E79="ifjúsági",33000,IF(E79="női",33000,IF(E79="gyermek",5000,"")))),"")</f>
        <v/>
      </c>
      <c r="AW79" s="273" t="str">
        <f t="shared" si="42"/>
        <v/>
      </c>
      <c r="AX79" s="274"/>
      <c r="AY79" s="313">
        <f t="shared" si="43"/>
        <v>6300</v>
      </c>
    </row>
    <row r="80" spans="1:51" x14ac:dyDescent="0.3">
      <c r="A80" s="68">
        <v>1</v>
      </c>
      <c r="B80" s="339" t="s">
        <v>128</v>
      </c>
      <c r="C80" s="141" t="s">
        <v>129</v>
      </c>
      <c r="D80" s="70" t="s">
        <v>116</v>
      </c>
      <c r="E80" s="142" t="s">
        <v>103</v>
      </c>
      <c r="F80" s="145"/>
      <c r="G80" s="66"/>
      <c r="H80" s="53"/>
      <c r="I80" s="52"/>
      <c r="J80" s="182"/>
      <c r="K80" s="135"/>
      <c r="L80" s="127">
        <v>10</v>
      </c>
      <c r="M80" s="127">
        <v>20</v>
      </c>
      <c r="N80" s="127">
        <f t="shared" ref="N80:N95" si="44">IF($G80="",20,$J80)</f>
        <v>20</v>
      </c>
      <c r="O80" s="127"/>
      <c r="P80" s="127"/>
      <c r="Q80" s="127"/>
      <c r="R80" s="128">
        <f t="shared" ref="R80:R95" si="45">SUM(L80:Q80)</f>
        <v>50</v>
      </c>
      <c r="T80" s="285">
        <v>2175</v>
      </c>
      <c r="U80" s="285">
        <v>0</v>
      </c>
      <c r="V80" s="285">
        <f t="shared" ref="V80:V95" si="46">IF($G80="",0,$I80)</f>
        <v>0</v>
      </c>
      <c r="W80" s="285"/>
      <c r="X80" s="285"/>
      <c r="Y80" s="285"/>
      <c r="Z80" s="286">
        <f t="shared" ref="Z80:Z95" si="47">SUM(T80:Y80)</f>
        <v>2175</v>
      </c>
      <c r="AB80" s="62" t="s">
        <v>352</v>
      </c>
      <c r="AC80" s="130">
        <v>5</v>
      </c>
      <c r="AD80" s="62" t="s">
        <v>185</v>
      </c>
      <c r="AE80" s="130" t="s">
        <v>185</v>
      </c>
      <c r="AF80" s="62" t="str">
        <f t="shared" ref="AF80:AF95" si="48">IF($G80="","-",$G80)</f>
        <v>-</v>
      </c>
      <c r="AG80" s="130" t="str">
        <f t="shared" ref="AG80:AG95" si="49">IF($G80="","-",$H80)</f>
        <v>-</v>
      </c>
      <c r="AH80" s="62"/>
      <c r="AI80" s="63"/>
      <c r="AJ80" s="130"/>
      <c r="AK80" s="130"/>
      <c r="AL80" s="62"/>
      <c r="AM80" s="63"/>
      <c r="AO80" s="73">
        <f t="shared" ref="AO80:AO95" si="50">COUNTIFS(L80:Q80,"&lt;20")</f>
        <v>1</v>
      </c>
      <c r="AP80" s="73">
        <f t="shared" ref="AP80:AP95" si="51">SUMIF(L80:Q80,"&lt;20")</f>
        <v>10</v>
      </c>
      <c r="AQ80" s="73">
        <f t="shared" ref="AQ80:AQ95" si="52">MAX(L80:Q80)</f>
        <v>20</v>
      </c>
      <c r="AR80" s="73" t="str">
        <f t="shared" ref="AR80:AR95" si="53">IF(AO80&gt;4,L80+M80+N80+O80+P80+Q80-AQ80,IF(AO80&lt;5,"Kevés v."))</f>
        <v>Kevés v.</v>
      </c>
      <c r="AT80" s="273" t="str">
        <f t="shared" ref="AT80:AT95" si="54">IF(F80=2,IF(E80="felnőtt",8300,IF(E80="ifjúsági",6600,IF(E80="női",6600,IF(E80="gyermek",1000,"")))),"")</f>
        <v/>
      </c>
      <c r="AU80" s="273" t="str">
        <f t="shared" ref="AU80:AU95" si="55">IF(F80=3,IF(E80="felnőtt",6300,IF(E80="ifjúsági",4600,IF(E80="női",4600,IF(E80="gyermek",0,"")))),"")</f>
        <v/>
      </c>
      <c r="AV80" s="273" t="str">
        <f t="shared" ref="AV80:AV99" si="56">IF(F80=6,IF(E80="felnőtt",41500,IF(E80="ifjúsági",33000,IF(E80="női",33000,IF(E80="gyermek",5000,"")))),"")</f>
        <v/>
      </c>
      <c r="AW80" s="273" t="str">
        <f t="shared" ref="AW80:AW96" si="57">IF(F80=7,IF(E80="felnőtt",31500,IF(E80="ifjúsági",23000,IF(E80="női",23000,IF(E80="gyermek",0,"")))),"")</f>
        <v/>
      </c>
      <c r="AX80" s="274"/>
      <c r="AY80" s="313">
        <f t="shared" ref="AY80:AY95" si="58">SUM(AT80:AX80)</f>
        <v>0</v>
      </c>
    </row>
    <row r="81" spans="1:51" x14ac:dyDescent="0.3">
      <c r="A81" s="68">
        <v>2</v>
      </c>
      <c r="B81" s="339" t="s">
        <v>130</v>
      </c>
      <c r="C81" s="250" t="s">
        <v>131</v>
      </c>
      <c r="D81" s="70" t="s">
        <v>116</v>
      </c>
      <c r="E81" s="142" t="s">
        <v>103</v>
      </c>
      <c r="F81" s="145"/>
      <c r="G81" s="66"/>
      <c r="H81" s="53"/>
      <c r="I81" s="52"/>
      <c r="J81" s="182"/>
      <c r="K81" s="135"/>
      <c r="L81" s="127">
        <v>3</v>
      </c>
      <c r="M81" s="127">
        <v>20</v>
      </c>
      <c r="N81" s="127">
        <f t="shared" si="44"/>
        <v>20</v>
      </c>
      <c r="O81" s="127"/>
      <c r="P81" s="127"/>
      <c r="Q81" s="127"/>
      <c r="R81" s="128">
        <f t="shared" si="45"/>
        <v>43</v>
      </c>
      <c r="T81" s="285">
        <v>13770</v>
      </c>
      <c r="U81" s="285">
        <v>0</v>
      </c>
      <c r="V81" s="285">
        <f t="shared" si="46"/>
        <v>0</v>
      </c>
      <c r="W81" s="287"/>
      <c r="X81" s="287"/>
      <c r="Y81" s="285"/>
      <c r="Z81" s="286">
        <f t="shared" si="47"/>
        <v>13770</v>
      </c>
      <c r="AB81" s="62" t="s">
        <v>353</v>
      </c>
      <c r="AC81" s="130">
        <v>9</v>
      </c>
      <c r="AD81" s="62" t="s">
        <v>185</v>
      </c>
      <c r="AE81" s="130" t="s">
        <v>185</v>
      </c>
      <c r="AF81" s="62" t="str">
        <f t="shared" si="48"/>
        <v>-</v>
      </c>
      <c r="AG81" s="130" t="str">
        <f t="shared" si="49"/>
        <v>-</v>
      </c>
      <c r="AH81" s="62"/>
      <c r="AI81" s="63"/>
      <c r="AJ81" s="130"/>
      <c r="AK81" s="130"/>
      <c r="AL81" s="62"/>
      <c r="AM81" s="63"/>
      <c r="AO81" s="73">
        <f t="shared" si="50"/>
        <v>1</v>
      </c>
      <c r="AP81" s="73">
        <f t="shared" si="51"/>
        <v>3</v>
      </c>
      <c r="AQ81" s="73">
        <f t="shared" si="52"/>
        <v>20</v>
      </c>
      <c r="AR81" s="73" t="str">
        <f t="shared" si="53"/>
        <v>Kevés v.</v>
      </c>
      <c r="AT81" s="273" t="str">
        <f t="shared" si="54"/>
        <v/>
      </c>
      <c r="AU81" s="273" t="str">
        <f t="shared" si="55"/>
        <v/>
      </c>
      <c r="AV81" s="273" t="str">
        <f t="shared" si="56"/>
        <v/>
      </c>
      <c r="AW81" s="273" t="str">
        <f t="shared" si="57"/>
        <v/>
      </c>
      <c r="AX81" s="274"/>
      <c r="AY81" s="313">
        <f t="shared" si="58"/>
        <v>0</v>
      </c>
    </row>
    <row r="82" spans="1:51" x14ac:dyDescent="0.3">
      <c r="A82" s="68">
        <v>3</v>
      </c>
      <c r="B82" s="339" t="s">
        <v>132</v>
      </c>
      <c r="C82" s="141" t="s">
        <v>133</v>
      </c>
      <c r="D82" s="143" t="s">
        <v>116</v>
      </c>
      <c r="E82" s="142" t="s">
        <v>103</v>
      </c>
      <c r="F82" s="145"/>
      <c r="G82" s="66"/>
      <c r="H82" s="53"/>
      <c r="I82" s="52"/>
      <c r="J82" s="182"/>
      <c r="K82" s="135"/>
      <c r="L82" s="127">
        <v>6</v>
      </c>
      <c r="M82" s="127">
        <v>20</v>
      </c>
      <c r="N82" s="127">
        <f t="shared" si="44"/>
        <v>20</v>
      </c>
      <c r="O82" s="127"/>
      <c r="P82" s="127"/>
      <c r="Q82" s="127"/>
      <c r="R82" s="128">
        <f t="shared" si="45"/>
        <v>46</v>
      </c>
      <c r="T82" s="285">
        <v>2750</v>
      </c>
      <c r="U82" s="285">
        <v>0</v>
      </c>
      <c r="V82" s="285">
        <f t="shared" si="46"/>
        <v>0</v>
      </c>
      <c r="W82" s="287"/>
      <c r="X82" s="287"/>
      <c r="Y82" s="285"/>
      <c r="Z82" s="286">
        <f t="shared" si="47"/>
        <v>2750</v>
      </c>
      <c r="AB82" s="62" t="s">
        <v>354</v>
      </c>
      <c r="AC82" s="130">
        <v>4</v>
      </c>
      <c r="AD82" s="62" t="s">
        <v>185</v>
      </c>
      <c r="AE82" s="130" t="s">
        <v>185</v>
      </c>
      <c r="AF82" s="62" t="str">
        <f t="shared" si="48"/>
        <v>-</v>
      </c>
      <c r="AG82" s="130" t="str">
        <f t="shared" si="49"/>
        <v>-</v>
      </c>
      <c r="AH82" s="62"/>
      <c r="AI82" s="63"/>
      <c r="AJ82" s="130"/>
      <c r="AK82" s="130"/>
      <c r="AL82" s="62"/>
      <c r="AM82" s="63"/>
      <c r="AO82" s="73">
        <f t="shared" si="50"/>
        <v>1</v>
      </c>
      <c r="AP82" s="73">
        <f t="shared" si="51"/>
        <v>6</v>
      </c>
      <c r="AQ82" s="73">
        <f t="shared" si="52"/>
        <v>20</v>
      </c>
      <c r="AR82" s="73" t="str">
        <f t="shared" si="53"/>
        <v>Kevés v.</v>
      </c>
      <c r="AT82" s="273" t="str">
        <f t="shared" si="54"/>
        <v/>
      </c>
      <c r="AU82" s="273" t="str">
        <f t="shared" si="55"/>
        <v/>
      </c>
      <c r="AV82" s="273" t="str">
        <f t="shared" si="56"/>
        <v/>
      </c>
      <c r="AW82" s="273" t="str">
        <f t="shared" si="57"/>
        <v/>
      </c>
      <c r="AX82" s="274"/>
      <c r="AY82" s="313">
        <f t="shared" si="58"/>
        <v>0</v>
      </c>
    </row>
    <row r="83" spans="1:51" x14ac:dyDescent="0.3">
      <c r="A83" s="68">
        <v>4</v>
      </c>
      <c r="B83" s="339" t="s">
        <v>134</v>
      </c>
      <c r="C83" s="141" t="s">
        <v>135</v>
      </c>
      <c r="D83" s="143" t="s">
        <v>116</v>
      </c>
      <c r="E83" s="142" t="s">
        <v>103</v>
      </c>
      <c r="F83" s="145"/>
      <c r="G83" s="66"/>
      <c r="H83" s="53"/>
      <c r="I83" s="52"/>
      <c r="J83" s="182"/>
      <c r="K83" s="135"/>
      <c r="L83" s="127">
        <v>6</v>
      </c>
      <c r="M83" s="127">
        <v>20</v>
      </c>
      <c r="N83" s="127">
        <f t="shared" si="44"/>
        <v>20</v>
      </c>
      <c r="O83" s="127"/>
      <c r="P83" s="127"/>
      <c r="Q83" s="127"/>
      <c r="R83" s="128">
        <f t="shared" si="45"/>
        <v>46</v>
      </c>
      <c r="T83" s="285">
        <v>9350</v>
      </c>
      <c r="U83" s="285">
        <v>0</v>
      </c>
      <c r="V83" s="285">
        <f t="shared" si="46"/>
        <v>0</v>
      </c>
      <c r="W83" s="287"/>
      <c r="X83" s="287"/>
      <c r="Y83" s="285"/>
      <c r="Z83" s="286">
        <f t="shared" si="47"/>
        <v>9350</v>
      </c>
      <c r="AB83" s="62" t="s">
        <v>353</v>
      </c>
      <c r="AC83" s="130">
        <v>5</v>
      </c>
      <c r="AD83" s="62" t="s">
        <v>185</v>
      </c>
      <c r="AE83" s="130" t="s">
        <v>185</v>
      </c>
      <c r="AF83" s="62" t="str">
        <f t="shared" si="48"/>
        <v>-</v>
      </c>
      <c r="AG83" s="130" t="str">
        <f t="shared" si="49"/>
        <v>-</v>
      </c>
      <c r="AH83" s="62"/>
      <c r="AI83" s="63"/>
      <c r="AJ83" s="130"/>
      <c r="AK83" s="130"/>
      <c r="AL83" s="62"/>
      <c r="AM83" s="63"/>
      <c r="AO83" s="73">
        <f t="shared" si="50"/>
        <v>1</v>
      </c>
      <c r="AP83" s="73">
        <f t="shared" si="51"/>
        <v>6</v>
      </c>
      <c r="AQ83" s="73">
        <f t="shared" si="52"/>
        <v>20</v>
      </c>
      <c r="AR83" s="73" t="str">
        <f t="shared" si="53"/>
        <v>Kevés v.</v>
      </c>
      <c r="AT83" s="273" t="str">
        <f t="shared" si="54"/>
        <v/>
      </c>
      <c r="AU83" s="273" t="str">
        <f t="shared" si="55"/>
        <v/>
      </c>
      <c r="AV83" s="273" t="str">
        <f t="shared" si="56"/>
        <v/>
      </c>
      <c r="AW83" s="273" t="str">
        <f t="shared" si="57"/>
        <v/>
      </c>
      <c r="AX83" s="274"/>
      <c r="AY83" s="313">
        <f t="shared" si="58"/>
        <v>0</v>
      </c>
    </row>
    <row r="84" spans="1:51" x14ac:dyDescent="0.3">
      <c r="A84" s="68">
        <v>5</v>
      </c>
      <c r="B84" s="339" t="s">
        <v>136</v>
      </c>
      <c r="C84" s="250" t="s">
        <v>133</v>
      </c>
      <c r="D84" s="143" t="s">
        <v>116</v>
      </c>
      <c r="E84" s="142" t="s">
        <v>103</v>
      </c>
      <c r="F84" s="145"/>
      <c r="G84" s="66"/>
      <c r="H84" s="53"/>
      <c r="I84" s="52"/>
      <c r="J84" s="182"/>
      <c r="K84" s="135"/>
      <c r="L84" s="127">
        <v>2</v>
      </c>
      <c r="M84" s="127">
        <v>20</v>
      </c>
      <c r="N84" s="127">
        <f t="shared" si="44"/>
        <v>20</v>
      </c>
      <c r="O84" s="127"/>
      <c r="P84" s="127"/>
      <c r="Q84" s="127"/>
      <c r="R84" s="128">
        <f t="shared" si="45"/>
        <v>42</v>
      </c>
      <c r="T84" s="285">
        <v>19350</v>
      </c>
      <c r="U84" s="285">
        <v>0</v>
      </c>
      <c r="V84" s="285">
        <f t="shared" si="46"/>
        <v>0</v>
      </c>
      <c r="W84" s="287"/>
      <c r="X84" s="287"/>
      <c r="Y84" s="285"/>
      <c r="Z84" s="286">
        <f t="shared" si="47"/>
        <v>19350</v>
      </c>
      <c r="AB84" s="62" t="s">
        <v>353</v>
      </c>
      <c r="AC84" s="130">
        <v>8</v>
      </c>
      <c r="AD84" s="62" t="s">
        <v>185</v>
      </c>
      <c r="AE84" s="130" t="s">
        <v>185</v>
      </c>
      <c r="AF84" s="62" t="str">
        <f t="shared" si="48"/>
        <v>-</v>
      </c>
      <c r="AG84" s="130" t="str">
        <f t="shared" si="49"/>
        <v>-</v>
      </c>
      <c r="AH84" s="62"/>
      <c r="AI84" s="63"/>
      <c r="AJ84" s="130"/>
      <c r="AK84" s="130"/>
      <c r="AL84" s="62"/>
      <c r="AM84" s="63"/>
      <c r="AO84" s="73">
        <f t="shared" si="50"/>
        <v>1</v>
      </c>
      <c r="AP84" s="73">
        <f t="shared" si="51"/>
        <v>2</v>
      </c>
      <c r="AQ84" s="73">
        <f t="shared" si="52"/>
        <v>20</v>
      </c>
      <c r="AR84" s="73" t="str">
        <f t="shared" si="53"/>
        <v>Kevés v.</v>
      </c>
      <c r="AT84" s="273" t="str">
        <f t="shared" si="54"/>
        <v/>
      </c>
      <c r="AU84" s="273" t="str">
        <f t="shared" si="55"/>
        <v/>
      </c>
      <c r="AV84" s="273" t="str">
        <f t="shared" si="56"/>
        <v/>
      </c>
      <c r="AW84" s="273" t="str">
        <f t="shared" si="57"/>
        <v/>
      </c>
      <c r="AX84" s="274"/>
      <c r="AY84" s="313">
        <f t="shared" si="58"/>
        <v>0</v>
      </c>
    </row>
    <row r="85" spans="1:51" x14ac:dyDescent="0.3">
      <c r="A85" s="68">
        <v>6</v>
      </c>
      <c r="B85" s="339" t="s">
        <v>137</v>
      </c>
      <c r="C85" s="250" t="s">
        <v>133</v>
      </c>
      <c r="D85" s="143" t="s">
        <v>116</v>
      </c>
      <c r="E85" s="142" t="s">
        <v>103</v>
      </c>
      <c r="F85" s="145"/>
      <c r="G85" s="66"/>
      <c r="H85" s="53"/>
      <c r="I85" s="52"/>
      <c r="J85" s="182"/>
      <c r="K85" s="135"/>
      <c r="L85" s="127">
        <v>6</v>
      </c>
      <c r="M85" s="127">
        <v>20</v>
      </c>
      <c r="N85" s="127">
        <f t="shared" si="44"/>
        <v>20</v>
      </c>
      <c r="O85" s="127"/>
      <c r="P85" s="127"/>
      <c r="Q85" s="127"/>
      <c r="R85" s="128">
        <f t="shared" si="45"/>
        <v>46</v>
      </c>
      <c r="T85" s="285">
        <v>2350</v>
      </c>
      <c r="U85" s="285">
        <v>0</v>
      </c>
      <c r="V85" s="285">
        <f t="shared" si="46"/>
        <v>0</v>
      </c>
      <c r="W85" s="287"/>
      <c r="X85" s="287"/>
      <c r="Y85" s="285"/>
      <c r="Z85" s="286">
        <f t="shared" si="47"/>
        <v>2350</v>
      </c>
      <c r="AB85" s="62" t="s">
        <v>355</v>
      </c>
      <c r="AC85" s="130">
        <v>5</v>
      </c>
      <c r="AD85" s="62" t="s">
        <v>185</v>
      </c>
      <c r="AE85" s="130" t="s">
        <v>185</v>
      </c>
      <c r="AF85" s="62" t="str">
        <f t="shared" si="48"/>
        <v>-</v>
      </c>
      <c r="AG85" s="130" t="str">
        <f t="shared" si="49"/>
        <v>-</v>
      </c>
      <c r="AH85" s="62"/>
      <c r="AI85" s="63"/>
      <c r="AJ85" s="130"/>
      <c r="AK85" s="130"/>
      <c r="AL85" s="62"/>
      <c r="AM85" s="63"/>
      <c r="AO85" s="73">
        <f t="shared" si="50"/>
        <v>1</v>
      </c>
      <c r="AP85" s="73">
        <f t="shared" si="51"/>
        <v>6</v>
      </c>
      <c r="AQ85" s="73">
        <f t="shared" si="52"/>
        <v>20</v>
      </c>
      <c r="AR85" s="73" t="str">
        <f t="shared" si="53"/>
        <v>Kevés v.</v>
      </c>
      <c r="AT85" s="273" t="str">
        <f t="shared" si="54"/>
        <v/>
      </c>
      <c r="AU85" s="273" t="str">
        <f t="shared" si="55"/>
        <v/>
      </c>
      <c r="AV85" s="273" t="str">
        <f t="shared" si="56"/>
        <v/>
      </c>
      <c r="AW85" s="273" t="str">
        <f t="shared" si="57"/>
        <v/>
      </c>
      <c r="AX85" s="274"/>
      <c r="AY85" s="313">
        <f t="shared" si="58"/>
        <v>0</v>
      </c>
    </row>
    <row r="86" spans="1:51" x14ac:dyDescent="0.3">
      <c r="A86" s="68">
        <v>7</v>
      </c>
      <c r="B86" s="340" t="s">
        <v>138</v>
      </c>
      <c r="C86" s="141" t="s">
        <v>139</v>
      </c>
      <c r="D86" s="70" t="s">
        <v>116</v>
      </c>
      <c r="E86" s="142" t="s">
        <v>103</v>
      </c>
      <c r="F86" s="145"/>
      <c r="G86" s="66"/>
      <c r="H86" s="53"/>
      <c r="I86" s="52"/>
      <c r="J86" s="182"/>
      <c r="K86" s="135"/>
      <c r="L86" s="127">
        <v>3</v>
      </c>
      <c r="M86" s="127">
        <v>11</v>
      </c>
      <c r="N86" s="127">
        <f t="shared" si="44"/>
        <v>20</v>
      </c>
      <c r="O86" s="127"/>
      <c r="P86" s="127"/>
      <c r="Q86" s="127"/>
      <c r="R86" s="128">
        <f t="shared" si="45"/>
        <v>34</v>
      </c>
      <c r="T86" s="285">
        <v>19800</v>
      </c>
      <c r="U86" s="285">
        <v>5350</v>
      </c>
      <c r="V86" s="285">
        <f t="shared" si="46"/>
        <v>0</v>
      </c>
      <c r="W86" s="287"/>
      <c r="X86" s="287"/>
      <c r="Y86" s="285"/>
      <c r="Z86" s="286">
        <f t="shared" si="47"/>
        <v>25150</v>
      </c>
      <c r="AB86" s="62" t="s">
        <v>354</v>
      </c>
      <c r="AC86" s="130">
        <v>9</v>
      </c>
      <c r="AD86" s="62" t="s">
        <v>363</v>
      </c>
      <c r="AE86" s="130">
        <v>5</v>
      </c>
      <c r="AF86" s="62" t="str">
        <f t="shared" si="48"/>
        <v>-</v>
      </c>
      <c r="AG86" s="130" t="str">
        <f t="shared" si="49"/>
        <v>-</v>
      </c>
      <c r="AH86" s="62"/>
      <c r="AI86" s="63"/>
      <c r="AJ86" s="130"/>
      <c r="AK86" s="130"/>
      <c r="AL86" s="62"/>
      <c r="AM86" s="63"/>
      <c r="AO86" s="73">
        <f t="shared" si="50"/>
        <v>2</v>
      </c>
      <c r="AP86" s="73">
        <f t="shared" si="51"/>
        <v>14</v>
      </c>
      <c r="AQ86" s="73">
        <f t="shared" si="52"/>
        <v>20</v>
      </c>
      <c r="AR86" s="73" t="str">
        <f t="shared" si="53"/>
        <v>Kevés v.</v>
      </c>
      <c r="AT86" s="273" t="str">
        <f t="shared" si="54"/>
        <v/>
      </c>
      <c r="AU86" s="273" t="str">
        <f t="shared" si="55"/>
        <v/>
      </c>
      <c r="AV86" s="273" t="str">
        <f t="shared" si="56"/>
        <v/>
      </c>
      <c r="AW86" s="273" t="str">
        <f t="shared" si="57"/>
        <v/>
      </c>
      <c r="AX86" s="274"/>
      <c r="AY86" s="313">
        <f t="shared" si="58"/>
        <v>0</v>
      </c>
    </row>
    <row r="87" spans="1:51" x14ac:dyDescent="0.3">
      <c r="A87" s="68">
        <v>8</v>
      </c>
      <c r="B87" s="340" t="s">
        <v>140</v>
      </c>
      <c r="C87" s="250" t="s">
        <v>141</v>
      </c>
      <c r="D87" s="143" t="s">
        <v>116</v>
      </c>
      <c r="E87" s="142" t="s">
        <v>103</v>
      </c>
      <c r="F87" s="145"/>
      <c r="G87" s="66"/>
      <c r="H87" s="53"/>
      <c r="I87" s="52"/>
      <c r="J87" s="182"/>
      <c r="K87" s="135"/>
      <c r="L87" s="127">
        <v>5</v>
      </c>
      <c r="M87" s="127">
        <v>20</v>
      </c>
      <c r="N87" s="127">
        <f t="shared" si="44"/>
        <v>20</v>
      </c>
      <c r="O87" s="127"/>
      <c r="P87" s="127"/>
      <c r="Q87" s="127"/>
      <c r="R87" s="128">
        <f t="shared" si="45"/>
        <v>45</v>
      </c>
      <c r="T87" s="285">
        <v>12850</v>
      </c>
      <c r="U87" s="285">
        <v>0</v>
      </c>
      <c r="V87" s="285">
        <f t="shared" si="46"/>
        <v>0</v>
      </c>
      <c r="W87" s="287"/>
      <c r="X87" s="287"/>
      <c r="Y87" s="285"/>
      <c r="Z87" s="286">
        <f t="shared" si="47"/>
        <v>12850</v>
      </c>
      <c r="AB87" s="62" t="s">
        <v>353</v>
      </c>
      <c r="AC87" s="130">
        <v>3</v>
      </c>
      <c r="AD87" s="62" t="s">
        <v>185</v>
      </c>
      <c r="AE87" s="130" t="s">
        <v>185</v>
      </c>
      <c r="AF87" s="62" t="str">
        <f t="shared" si="48"/>
        <v>-</v>
      </c>
      <c r="AG87" s="130" t="str">
        <f t="shared" si="49"/>
        <v>-</v>
      </c>
      <c r="AH87" s="62"/>
      <c r="AI87" s="63"/>
      <c r="AJ87" s="130"/>
      <c r="AK87" s="130"/>
      <c r="AL87" s="62"/>
      <c r="AM87" s="63"/>
      <c r="AO87" s="73">
        <f t="shared" si="50"/>
        <v>1</v>
      </c>
      <c r="AP87" s="73">
        <f t="shared" si="51"/>
        <v>5</v>
      </c>
      <c r="AQ87" s="73">
        <f t="shared" si="52"/>
        <v>20</v>
      </c>
      <c r="AR87" s="73" t="str">
        <f t="shared" si="53"/>
        <v>Kevés v.</v>
      </c>
      <c r="AT87" s="273" t="str">
        <f t="shared" si="54"/>
        <v/>
      </c>
      <c r="AU87" s="273" t="str">
        <f t="shared" si="55"/>
        <v/>
      </c>
      <c r="AV87" s="273" t="str">
        <f t="shared" si="56"/>
        <v/>
      </c>
      <c r="AW87" s="273" t="str">
        <f t="shared" si="57"/>
        <v/>
      </c>
      <c r="AX87" s="274"/>
      <c r="AY87" s="313">
        <f t="shared" si="58"/>
        <v>0</v>
      </c>
    </row>
    <row r="88" spans="1:51" x14ac:dyDescent="0.3">
      <c r="A88" s="68">
        <v>9</v>
      </c>
      <c r="B88" s="339" t="s">
        <v>142</v>
      </c>
      <c r="C88" s="250" t="s">
        <v>131</v>
      </c>
      <c r="D88" s="143" t="s">
        <v>116</v>
      </c>
      <c r="E88" s="142" t="s">
        <v>103</v>
      </c>
      <c r="F88" s="145"/>
      <c r="G88" s="66"/>
      <c r="H88" s="53"/>
      <c r="I88" s="52"/>
      <c r="J88" s="182"/>
      <c r="K88" s="135"/>
      <c r="L88" s="127">
        <v>8</v>
      </c>
      <c r="M88" s="127">
        <v>20</v>
      </c>
      <c r="N88" s="127">
        <f t="shared" si="44"/>
        <v>20</v>
      </c>
      <c r="O88" s="127"/>
      <c r="P88" s="127"/>
      <c r="Q88" s="127"/>
      <c r="R88" s="128">
        <f t="shared" si="45"/>
        <v>48</v>
      </c>
      <c r="T88" s="285">
        <v>2000</v>
      </c>
      <c r="U88" s="285">
        <v>0</v>
      </c>
      <c r="V88" s="285">
        <f t="shared" si="46"/>
        <v>0</v>
      </c>
      <c r="W88" s="287"/>
      <c r="X88" s="287"/>
      <c r="Y88" s="285"/>
      <c r="Z88" s="286">
        <f t="shared" si="47"/>
        <v>2000</v>
      </c>
      <c r="AB88" s="62" t="s">
        <v>355</v>
      </c>
      <c r="AC88" s="130">
        <v>3</v>
      </c>
      <c r="AD88" s="62" t="s">
        <v>185</v>
      </c>
      <c r="AE88" s="130" t="s">
        <v>185</v>
      </c>
      <c r="AF88" s="62" t="str">
        <f t="shared" si="48"/>
        <v>-</v>
      </c>
      <c r="AG88" s="130" t="str">
        <f t="shared" si="49"/>
        <v>-</v>
      </c>
      <c r="AH88" s="62"/>
      <c r="AI88" s="63"/>
      <c r="AJ88" s="130"/>
      <c r="AK88" s="130"/>
      <c r="AL88" s="62"/>
      <c r="AM88" s="63"/>
      <c r="AO88" s="73">
        <f t="shared" si="50"/>
        <v>1</v>
      </c>
      <c r="AP88" s="73">
        <f t="shared" si="51"/>
        <v>8</v>
      </c>
      <c r="AQ88" s="73">
        <f t="shared" si="52"/>
        <v>20</v>
      </c>
      <c r="AR88" s="73" t="str">
        <f t="shared" si="53"/>
        <v>Kevés v.</v>
      </c>
      <c r="AT88" s="273" t="str">
        <f t="shared" si="54"/>
        <v/>
      </c>
      <c r="AU88" s="273" t="str">
        <f t="shared" si="55"/>
        <v/>
      </c>
      <c r="AV88" s="273" t="str">
        <f t="shared" si="56"/>
        <v/>
      </c>
      <c r="AW88" s="273" t="str">
        <f t="shared" si="57"/>
        <v/>
      </c>
      <c r="AX88" s="274"/>
      <c r="AY88" s="313">
        <f t="shared" si="58"/>
        <v>0</v>
      </c>
    </row>
    <row r="89" spans="1:51" x14ac:dyDescent="0.3">
      <c r="A89" s="68">
        <v>14</v>
      </c>
      <c r="B89" s="339" t="s">
        <v>151</v>
      </c>
      <c r="C89" s="141" t="s">
        <v>153</v>
      </c>
      <c r="D89" s="143" t="s">
        <v>116</v>
      </c>
      <c r="E89" s="142" t="s">
        <v>103</v>
      </c>
      <c r="F89" s="145"/>
      <c r="G89" s="66"/>
      <c r="H89" s="53"/>
      <c r="I89" s="52"/>
      <c r="J89" s="182"/>
      <c r="K89" s="135"/>
      <c r="L89" s="127">
        <v>7</v>
      </c>
      <c r="M89" s="127">
        <v>20</v>
      </c>
      <c r="N89" s="127">
        <f t="shared" si="44"/>
        <v>20</v>
      </c>
      <c r="O89" s="127"/>
      <c r="P89" s="127"/>
      <c r="Q89" s="127"/>
      <c r="R89" s="128">
        <f t="shared" si="45"/>
        <v>47</v>
      </c>
      <c r="T89" s="285">
        <v>8500</v>
      </c>
      <c r="U89" s="285">
        <v>0</v>
      </c>
      <c r="V89" s="285">
        <f t="shared" si="46"/>
        <v>0</v>
      </c>
      <c r="W89" s="287"/>
      <c r="X89" s="287"/>
      <c r="Y89" s="285"/>
      <c r="Z89" s="286">
        <f t="shared" si="47"/>
        <v>8500</v>
      </c>
      <c r="AB89" s="62" t="s">
        <v>353</v>
      </c>
      <c r="AC89" s="130">
        <v>2</v>
      </c>
      <c r="AD89" s="62" t="s">
        <v>185</v>
      </c>
      <c r="AE89" s="130" t="s">
        <v>185</v>
      </c>
      <c r="AF89" s="62" t="str">
        <f t="shared" si="48"/>
        <v>-</v>
      </c>
      <c r="AG89" s="130" t="str">
        <f t="shared" si="49"/>
        <v>-</v>
      </c>
      <c r="AH89" s="62"/>
      <c r="AI89" s="63"/>
      <c r="AJ89" s="130"/>
      <c r="AK89" s="130"/>
      <c r="AL89" s="62"/>
      <c r="AM89" s="63"/>
      <c r="AO89" s="73">
        <f t="shared" si="50"/>
        <v>1</v>
      </c>
      <c r="AP89" s="73">
        <f t="shared" si="51"/>
        <v>7</v>
      </c>
      <c r="AQ89" s="73">
        <f t="shared" si="52"/>
        <v>20</v>
      </c>
      <c r="AR89" s="73" t="str">
        <f t="shared" si="53"/>
        <v>Kevés v.</v>
      </c>
      <c r="AT89" s="273" t="str">
        <f t="shared" si="54"/>
        <v/>
      </c>
      <c r="AU89" s="273" t="str">
        <f t="shared" si="55"/>
        <v/>
      </c>
      <c r="AV89" s="273" t="str">
        <f t="shared" si="56"/>
        <v/>
      </c>
      <c r="AW89" s="273" t="str">
        <f t="shared" si="57"/>
        <v/>
      </c>
      <c r="AX89" s="274"/>
      <c r="AY89" s="313">
        <f t="shared" si="58"/>
        <v>0</v>
      </c>
    </row>
    <row r="90" spans="1:51" x14ac:dyDescent="0.3">
      <c r="A90" s="68">
        <v>15</v>
      </c>
      <c r="B90" s="339" t="s">
        <v>152</v>
      </c>
      <c r="C90" s="141" t="s">
        <v>104</v>
      </c>
      <c r="D90" s="143" t="s">
        <v>116</v>
      </c>
      <c r="E90" s="142" t="s">
        <v>11</v>
      </c>
      <c r="F90" s="145"/>
      <c r="G90" s="66"/>
      <c r="H90" s="53"/>
      <c r="I90" s="52"/>
      <c r="J90" s="182"/>
      <c r="K90" s="135"/>
      <c r="L90" s="127">
        <v>6</v>
      </c>
      <c r="M90" s="127">
        <v>20</v>
      </c>
      <c r="N90" s="127">
        <f t="shared" si="44"/>
        <v>20</v>
      </c>
      <c r="O90" s="127"/>
      <c r="P90" s="127"/>
      <c r="Q90" s="127"/>
      <c r="R90" s="128">
        <f t="shared" si="45"/>
        <v>46</v>
      </c>
      <c r="T90" s="285">
        <v>9900</v>
      </c>
      <c r="U90" s="285">
        <v>0</v>
      </c>
      <c r="V90" s="285">
        <f t="shared" si="46"/>
        <v>0</v>
      </c>
      <c r="W90" s="287"/>
      <c r="X90" s="287"/>
      <c r="Y90" s="285"/>
      <c r="Z90" s="286">
        <f t="shared" si="47"/>
        <v>9900</v>
      </c>
      <c r="AB90" s="62" t="s">
        <v>357</v>
      </c>
      <c r="AC90" s="130">
        <v>4</v>
      </c>
      <c r="AD90" s="62" t="s">
        <v>185</v>
      </c>
      <c r="AE90" s="130" t="s">
        <v>185</v>
      </c>
      <c r="AF90" s="62" t="str">
        <f t="shared" si="48"/>
        <v>-</v>
      </c>
      <c r="AG90" s="130" t="str">
        <f t="shared" si="49"/>
        <v>-</v>
      </c>
      <c r="AH90" s="62"/>
      <c r="AI90" s="63"/>
      <c r="AJ90" s="130"/>
      <c r="AK90" s="130"/>
      <c r="AL90" s="62"/>
      <c r="AM90" s="63"/>
      <c r="AO90" s="73">
        <f t="shared" si="50"/>
        <v>1</v>
      </c>
      <c r="AP90" s="73">
        <f t="shared" si="51"/>
        <v>6</v>
      </c>
      <c r="AQ90" s="73">
        <f t="shared" si="52"/>
        <v>20</v>
      </c>
      <c r="AR90" s="73" t="str">
        <f t="shared" si="53"/>
        <v>Kevés v.</v>
      </c>
      <c r="AT90" s="273" t="str">
        <f t="shared" si="54"/>
        <v/>
      </c>
      <c r="AU90" s="273" t="str">
        <f t="shared" si="55"/>
        <v/>
      </c>
      <c r="AV90" s="273" t="str">
        <f t="shared" si="56"/>
        <v/>
      </c>
      <c r="AW90" s="273" t="str">
        <f t="shared" si="57"/>
        <v/>
      </c>
      <c r="AX90" s="274"/>
      <c r="AY90" s="313">
        <f t="shared" si="58"/>
        <v>0</v>
      </c>
    </row>
    <row r="91" spans="1:51" x14ac:dyDescent="0.3">
      <c r="A91" s="68">
        <v>16</v>
      </c>
      <c r="B91" s="339" t="s">
        <v>154</v>
      </c>
      <c r="C91" s="250" t="s">
        <v>105</v>
      </c>
      <c r="D91" s="143" t="s">
        <v>116</v>
      </c>
      <c r="E91" s="142" t="s">
        <v>103</v>
      </c>
      <c r="F91" s="145"/>
      <c r="G91" s="66"/>
      <c r="H91" s="53"/>
      <c r="I91" s="52"/>
      <c r="J91" s="182"/>
      <c r="K91" s="135"/>
      <c r="L91" s="127">
        <v>4</v>
      </c>
      <c r="M91" s="127">
        <v>6</v>
      </c>
      <c r="N91" s="127">
        <f t="shared" si="44"/>
        <v>20</v>
      </c>
      <c r="O91" s="127"/>
      <c r="P91" s="127"/>
      <c r="Q91" s="127"/>
      <c r="R91" s="128">
        <f t="shared" si="45"/>
        <v>30</v>
      </c>
      <c r="T91" s="285">
        <v>15200</v>
      </c>
      <c r="U91" s="285">
        <v>7875</v>
      </c>
      <c r="V91" s="285">
        <f t="shared" si="46"/>
        <v>0</v>
      </c>
      <c r="W91" s="287"/>
      <c r="X91" s="287"/>
      <c r="Y91" s="285"/>
      <c r="Z91" s="286">
        <f t="shared" si="47"/>
        <v>23075</v>
      </c>
      <c r="AB91" s="62" t="s">
        <v>357</v>
      </c>
      <c r="AC91" s="130">
        <v>2</v>
      </c>
      <c r="AD91" s="62" t="s">
        <v>355</v>
      </c>
      <c r="AE91" s="130">
        <v>12</v>
      </c>
      <c r="AF91" s="62" t="str">
        <f t="shared" si="48"/>
        <v>-</v>
      </c>
      <c r="AG91" s="130" t="str">
        <f t="shared" si="49"/>
        <v>-</v>
      </c>
      <c r="AH91" s="62"/>
      <c r="AI91" s="63"/>
      <c r="AJ91" s="130"/>
      <c r="AK91" s="130"/>
      <c r="AL91" s="62"/>
      <c r="AM91" s="63"/>
      <c r="AO91" s="73">
        <f t="shared" si="50"/>
        <v>2</v>
      </c>
      <c r="AP91" s="73">
        <f t="shared" si="51"/>
        <v>10</v>
      </c>
      <c r="AQ91" s="73">
        <f t="shared" si="52"/>
        <v>20</v>
      </c>
      <c r="AR91" s="73" t="str">
        <f t="shared" si="53"/>
        <v>Kevés v.</v>
      </c>
      <c r="AT91" s="273" t="str">
        <f t="shared" si="54"/>
        <v/>
      </c>
      <c r="AU91" s="273" t="str">
        <f t="shared" si="55"/>
        <v/>
      </c>
      <c r="AV91" s="273" t="str">
        <f t="shared" si="56"/>
        <v/>
      </c>
      <c r="AW91" s="273" t="str">
        <f t="shared" si="57"/>
        <v/>
      </c>
      <c r="AX91" s="274"/>
      <c r="AY91" s="313">
        <f t="shared" si="58"/>
        <v>0</v>
      </c>
    </row>
    <row r="92" spans="1:51" x14ac:dyDescent="0.3">
      <c r="A92" s="68">
        <v>17</v>
      </c>
      <c r="B92" s="340" t="s">
        <v>155</v>
      </c>
      <c r="C92" s="250" t="s">
        <v>156</v>
      </c>
      <c r="D92" s="143" t="s">
        <v>116</v>
      </c>
      <c r="E92" s="142" t="s">
        <v>108</v>
      </c>
      <c r="F92" s="145"/>
      <c r="G92" s="66"/>
      <c r="H92" s="53"/>
      <c r="I92" s="52"/>
      <c r="J92" s="182"/>
      <c r="K92" s="135"/>
      <c r="L92" s="127">
        <v>9</v>
      </c>
      <c r="M92" s="127">
        <v>4</v>
      </c>
      <c r="N92" s="127">
        <f t="shared" si="44"/>
        <v>20</v>
      </c>
      <c r="O92" s="127"/>
      <c r="P92" s="127"/>
      <c r="Q92" s="127"/>
      <c r="R92" s="128">
        <f t="shared" si="45"/>
        <v>33</v>
      </c>
      <c r="T92" s="285">
        <v>500</v>
      </c>
      <c r="U92" s="285">
        <v>12350</v>
      </c>
      <c r="V92" s="285">
        <f t="shared" si="46"/>
        <v>0</v>
      </c>
      <c r="W92" s="287"/>
      <c r="X92" s="287"/>
      <c r="Y92" s="285"/>
      <c r="Z92" s="286">
        <f t="shared" si="47"/>
        <v>12850</v>
      </c>
      <c r="AB92" s="62" t="s">
        <v>355</v>
      </c>
      <c r="AC92" s="130">
        <v>6</v>
      </c>
      <c r="AD92" s="62" t="s">
        <v>355</v>
      </c>
      <c r="AE92" s="130">
        <v>2</v>
      </c>
      <c r="AF92" s="62" t="str">
        <f t="shared" si="48"/>
        <v>-</v>
      </c>
      <c r="AG92" s="130" t="str">
        <f t="shared" si="49"/>
        <v>-</v>
      </c>
      <c r="AH92" s="62"/>
      <c r="AI92" s="63"/>
      <c r="AJ92" s="130"/>
      <c r="AK92" s="130"/>
      <c r="AL92" s="62"/>
      <c r="AM92" s="63"/>
      <c r="AO92" s="73">
        <f t="shared" si="50"/>
        <v>2</v>
      </c>
      <c r="AP92" s="73">
        <f t="shared" si="51"/>
        <v>13</v>
      </c>
      <c r="AQ92" s="73">
        <f t="shared" si="52"/>
        <v>20</v>
      </c>
      <c r="AR92" s="73" t="str">
        <f t="shared" si="53"/>
        <v>Kevés v.</v>
      </c>
      <c r="AT92" s="273" t="str">
        <f t="shared" si="54"/>
        <v/>
      </c>
      <c r="AU92" s="273" t="str">
        <f t="shared" si="55"/>
        <v/>
      </c>
      <c r="AV92" s="273" t="str">
        <f t="shared" si="56"/>
        <v/>
      </c>
      <c r="AW92" s="273" t="str">
        <f t="shared" si="57"/>
        <v/>
      </c>
      <c r="AX92" s="274"/>
      <c r="AY92" s="313">
        <f t="shared" si="58"/>
        <v>0</v>
      </c>
    </row>
    <row r="93" spans="1:51" x14ac:dyDescent="0.3">
      <c r="A93" s="68">
        <v>18</v>
      </c>
      <c r="B93" s="339" t="s">
        <v>157</v>
      </c>
      <c r="C93" s="250" t="s">
        <v>105</v>
      </c>
      <c r="D93" s="143" t="s">
        <v>116</v>
      </c>
      <c r="E93" s="142" t="s">
        <v>103</v>
      </c>
      <c r="F93" s="145"/>
      <c r="G93" s="66"/>
      <c r="H93" s="53"/>
      <c r="I93" s="52"/>
      <c r="J93" s="182"/>
      <c r="K93" s="135"/>
      <c r="L93" s="127">
        <v>7</v>
      </c>
      <c r="M93" s="127">
        <v>20</v>
      </c>
      <c r="N93" s="127">
        <f t="shared" si="44"/>
        <v>20</v>
      </c>
      <c r="O93" s="127"/>
      <c r="P93" s="127"/>
      <c r="Q93" s="127"/>
      <c r="R93" s="128">
        <f t="shared" si="45"/>
        <v>47</v>
      </c>
      <c r="T93" s="285">
        <v>5675</v>
      </c>
      <c r="U93" s="285">
        <v>0</v>
      </c>
      <c r="V93" s="285">
        <f t="shared" si="46"/>
        <v>0</v>
      </c>
      <c r="W93" s="287"/>
      <c r="X93" s="287"/>
      <c r="Y93" s="285"/>
      <c r="Z93" s="286">
        <f t="shared" si="47"/>
        <v>5675</v>
      </c>
      <c r="AB93" s="62" t="s">
        <v>352</v>
      </c>
      <c r="AC93" s="130">
        <v>9</v>
      </c>
      <c r="AD93" s="62" t="s">
        <v>185</v>
      </c>
      <c r="AE93" s="130" t="s">
        <v>185</v>
      </c>
      <c r="AF93" s="62" t="str">
        <f t="shared" si="48"/>
        <v>-</v>
      </c>
      <c r="AG93" s="130" t="str">
        <f t="shared" si="49"/>
        <v>-</v>
      </c>
      <c r="AH93" s="62"/>
      <c r="AI93" s="63"/>
      <c r="AJ93" s="130"/>
      <c r="AK93" s="130"/>
      <c r="AL93" s="62"/>
      <c r="AM93" s="63"/>
      <c r="AO93" s="73">
        <f t="shared" si="50"/>
        <v>1</v>
      </c>
      <c r="AP93" s="73">
        <f t="shared" si="51"/>
        <v>7</v>
      </c>
      <c r="AQ93" s="73">
        <f t="shared" si="52"/>
        <v>20</v>
      </c>
      <c r="AR93" s="73" t="str">
        <f t="shared" si="53"/>
        <v>Kevés v.</v>
      </c>
      <c r="AT93" s="273" t="str">
        <f t="shared" si="54"/>
        <v/>
      </c>
      <c r="AU93" s="273" t="str">
        <f t="shared" si="55"/>
        <v/>
      </c>
      <c r="AV93" s="273" t="str">
        <f t="shared" si="56"/>
        <v/>
      </c>
      <c r="AW93" s="273" t="str">
        <f t="shared" si="57"/>
        <v/>
      </c>
      <c r="AX93" s="274"/>
      <c r="AY93" s="313">
        <f t="shared" si="58"/>
        <v>0</v>
      </c>
    </row>
    <row r="94" spans="1:51" x14ac:dyDescent="0.3">
      <c r="A94" s="68">
        <v>19</v>
      </c>
      <c r="B94" s="339" t="s">
        <v>158</v>
      </c>
      <c r="C94" s="141" t="s">
        <v>159</v>
      </c>
      <c r="D94" s="143" t="s">
        <v>116</v>
      </c>
      <c r="E94" s="142" t="s">
        <v>103</v>
      </c>
      <c r="F94" s="145"/>
      <c r="G94" s="66"/>
      <c r="H94" s="53"/>
      <c r="I94" s="52"/>
      <c r="J94" s="182"/>
      <c r="K94" s="135"/>
      <c r="L94" s="127">
        <v>6</v>
      </c>
      <c r="M94" s="127">
        <v>20</v>
      </c>
      <c r="N94" s="127">
        <f t="shared" si="44"/>
        <v>20</v>
      </c>
      <c r="O94" s="127"/>
      <c r="P94" s="127"/>
      <c r="Q94" s="127"/>
      <c r="R94" s="128">
        <f t="shared" si="45"/>
        <v>46</v>
      </c>
      <c r="T94" s="285">
        <v>7000</v>
      </c>
      <c r="U94" s="285">
        <v>0</v>
      </c>
      <c r="V94" s="285">
        <f t="shared" si="46"/>
        <v>0</v>
      </c>
      <c r="W94" s="287"/>
      <c r="X94" s="287"/>
      <c r="Y94" s="285"/>
      <c r="Z94" s="286">
        <f t="shared" si="47"/>
        <v>7000</v>
      </c>
      <c r="AB94" s="62" t="s">
        <v>352</v>
      </c>
      <c r="AC94" s="130">
        <v>2</v>
      </c>
      <c r="AD94" s="62" t="s">
        <v>185</v>
      </c>
      <c r="AE94" s="130" t="s">
        <v>185</v>
      </c>
      <c r="AF94" s="62" t="str">
        <f t="shared" si="48"/>
        <v>-</v>
      </c>
      <c r="AG94" s="130" t="str">
        <f t="shared" si="49"/>
        <v>-</v>
      </c>
      <c r="AH94" s="62"/>
      <c r="AI94" s="63"/>
      <c r="AJ94" s="130"/>
      <c r="AK94" s="130"/>
      <c r="AL94" s="62"/>
      <c r="AM94" s="63"/>
      <c r="AO94" s="73">
        <f t="shared" si="50"/>
        <v>1</v>
      </c>
      <c r="AP94" s="73">
        <f t="shared" si="51"/>
        <v>6</v>
      </c>
      <c r="AQ94" s="73">
        <f t="shared" si="52"/>
        <v>20</v>
      </c>
      <c r="AR94" s="73" t="str">
        <f t="shared" si="53"/>
        <v>Kevés v.</v>
      </c>
      <c r="AT94" s="273" t="str">
        <f t="shared" si="54"/>
        <v/>
      </c>
      <c r="AU94" s="273" t="str">
        <f t="shared" si="55"/>
        <v/>
      </c>
      <c r="AV94" s="273" t="str">
        <f t="shared" si="56"/>
        <v/>
      </c>
      <c r="AW94" s="273" t="str">
        <f t="shared" si="57"/>
        <v/>
      </c>
      <c r="AX94" s="274"/>
      <c r="AY94" s="313">
        <f t="shared" si="58"/>
        <v>0</v>
      </c>
    </row>
    <row r="95" spans="1:51" x14ac:dyDescent="0.3">
      <c r="A95" s="68">
        <v>20</v>
      </c>
      <c r="B95" s="339" t="s">
        <v>160</v>
      </c>
      <c r="C95" s="250" t="s">
        <v>161</v>
      </c>
      <c r="D95" s="70" t="s">
        <v>116</v>
      </c>
      <c r="E95" s="142" t="s">
        <v>103</v>
      </c>
      <c r="F95" s="145"/>
      <c r="G95" s="66"/>
      <c r="H95" s="53"/>
      <c r="I95" s="52"/>
      <c r="J95" s="182"/>
      <c r="K95" s="135"/>
      <c r="L95" s="127">
        <v>8.5</v>
      </c>
      <c r="M95" s="127">
        <v>20</v>
      </c>
      <c r="N95" s="127">
        <f t="shared" si="44"/>
        <v>20</v>
      </c>
      <c r="O95" s="127"/>
      <c r="P95" s="127"/>
      <c r="Q95" s="127"/>
      <c r="R95" s="128">
        <f t="shared" si="45"/>
        <v>48.5</v>
      </c>
      <c r="T95" s="285">
        <v>0</v>
      </c>
      <c r="U95" s="285">
        <v>0</v>
      </c>
      <c r="V95" s="285">
        <f t="shared" si="46"/>
        <v>0</v>
      </c>
      <c r="W95" s="287"/>
      <c r="X95" s="287"/>
      <c r="Y95" s="285"/>
      <c r="Z95" s="286">
        <f t="shared" si="47"/>
        <v>0</v>
      </c>
      <c r="AB95" s="62" t="s">
        <v>354</v>
      </c>
      <c r="AC95" s="130">
        <v>6</v>
      </c>
      <c r="AD95" s="62" t="s">
        <v>185</v>
      </c>
      <c r="AE95" s="130" t="s">
        <v>185</v>
      </c>
      <c r="AF95" s="62" t="str">
        <f t="shared" si="48"/>
        <v>-</v>
      </c>
      <c r="AG95" s="130" t="str">
        <f t="shared" si="49"/>
        <v>-</v>
      </c>
      <c r="AH95" s="62"/>
      <c r="AI95" s="63"/>
      <c r="AJ95" s="130"/>
      <c r="AK95" s="130"/>
      <c r="AL95" s="62"/>
      <c r="AM95" s="63"/>
      <c r="AO95" s="73">
        <f t="shared" si="50"/>
        <v>1</v>
      </c>
      <c r="AP95" s="73">
        <f t="shared" si="51"/>
        <v>8.5</v>
      </c>
      <c r="AQ95" s="73">
        <f t="shared" si="52"/>
        <v>20</v>
      </c>
      <c r="AR95" s="73" t="str">
        <f t="shared" si="53"/>
        <v>Kevés v.</v>
      </c>
      <c r="AT95" s="273" t="str">
        <f t="shared" si="54"/>
        <v/>
      </c>
      <c r="AU95" s="273" t="str">
        <f t="shared" si="55"/>
        <v/>
      </c>
      <c r="AV95" s="273" t="str">
        <f t="shared" si="56"/>
        <v/>
      </c>
      <c r="AW95" s="273" t="str">
        <f t="shared" si="57"/>
        <v/>
      </c>
      <c r="AX95" s="274"/>
      <c r="AY95" s="313">
        <f t="shared" si="58"/>
        <v>0</v>
      </c>
    </row>
    <row r="96" spans="1:51" x14ac:dyDescent="0.3">
      <c r="A96" s="68">
        <v>22</v>
      </c>
      <c r="B96" s="340" t="s">
        <v>164</v>
      </c>
      <c r="C96" s="250" t="s">
        <v>105</v>
      </c>
      <c r="D96" s="143" t="s">
        <v>116</v>
      </c>
      <c r="E96" s="142" t="s">
        <v>103</v>
      </c>
      <c r="F96" s="145"/>
      <c r="G96" s="66"/>
      <c r="H96" s="53"/>
      <c r="I96" s="52"/>
      <c r="J96" s="182"/>
      <c r="K96" s="135"/>
      <c r="L96" s="127">
        <v>4</v>
      </c>
      <c r="M96" s="127">
        <v>12</v>
      </c>
      <c r="N96" s="127">
        <f t="shared" ref="N96:N127" si="59">IF($G96="",20,$J96)</f>
        <v>20</v>
      </c>
      <c r="O96" s="127"/>
      <c r="P96" s="127"/>
      <c r="Q96" s="127"/>
      <c r="R96" s="128">
        <f t="shared" ref="R96:R127" si="60">SUM(L96:Q96)</f>
        <v>36</v>
      </c>
      <c r="T96" s="285">
        <v>12800</v>
      </c>
      <c r="U96" s="285">
        <v>3650</v>
      </c>
      <c r="V96" s="285">
        <f t="shared" ref="V96:V127" si="61">IF($G96="",0,$I96)</f>
        <v>0</v>
      </c>
      <c r="W96" s="287"/>
      <c r="X96" s="287"/>
      <c r="Y96" s="285"/>
      <c r="Z96" s="286">
        <f t="shared" ref="Z96:Z127" si="62">SUM(T96:Y96)</f>
        <v>16450</v>
      </c>
      <c r="AB96" s="62" t="s">
        <v>352</v>
      </c>
      <c r="AC96" s="130">
        <v>1</v>
      </c>
      <c r="AD96" s="62" t="s">
        <v>363</v>
      </c>
      <c r="AE96" s="130">
        <v>4</v>
      </c>
      <c r="AF96" s="62" t="str">
        <f t="shared" ref="AF96:AF127" si="63">IF($G96="","-",$G96)</f>
        <v>-</v>
      </c>
      <c r="AG96" s="130" t="str">
        <f t="shared" ref="AG96:AG127" si="64">IF($G96="","-",$H96)</f>
        <v>-</v>
      </c>
      <c r="AH96" s="62"/>
      <c r="AI96" s="63"/>
      <c r="AJ96" s="130"/>
      <c r="AK96" s="130"/>
      <c r="AL96" s="62"/>
      <c r="AM96" s="63"/>
      <c r="AO96" s="73">
        <f t="shared" ref="AO96:AO127" si="65">COUNTIFS(L96:Q96,"&lt;20")</f>
        <v>2</v>
      </c>
      <c r="AP96" s="73">
        <f t="shared" ref="AP96:AP127" si="66">SUMIF(L96:Q96,"&lt;20")</f>
        <v>16</v>
      </c>
      <c r="AQ96" s="73">
        <f t="shared" ref="AQ96:AQ127" si="67">MAX(L96:Q96)</f>
        <v>20</v>
      </c>
      <c r="AR96" s="73" t="str">
        <f t="shared" ref="AR96:AR127" si="68">IF(AO96&gt;4,L96+M96+N96+O96+P96+Q96-AQ96,IF(AO96&lt;5,"Kevés v."))</f>
        <v>Kevés v.</v>
      </c>
      <c r="AT96" s="273" t="str">
        <f t="shared" ref="AT96:AT127" si="69">IF(F96=2,IF(E96="felnőtt",8300,IF(E96="ifjúsági",6600,IF(E96="női",6600,IF(E96="gyermek",1000,"")))),"")</f>
        <v/>
      </c>
      <c r="AU96" s="273" t="str">
        <f t="shared" ref="AU96:AU127" si="70">IF(F96=3,IF(E96="felnőtt",6300,IF(E96="ifjúsági",4600,IF(E96="női",4600,IF(E96="gyermek",0,"")))),"")</f>
        <v/>
      </c>
      <c r="AV96" s="273" t="str">
        <f t="shared" si="56"/>
        <v/>
      </c>
      <c r="AW96" s="273" t="str">
        <f t="shared" si="57"/>
        <v/>
      </c>
      <c r="AX96" s="274"/>
      <c r="AY96" s="313">
        <f t="shared" ref="AY96:AY127" si="71">SUM(AT96:AX96)</f>
        <v>0</v>
      </c>
    </row>
    <row r="97" spans="1:51" x14ac:dyDescent="0.3">
      <c r="A97" s="68">
        <v>24</v>
      </c>
      <c r="B97" s="339" t="s">
        <v>167</v>
      </c>
      <c r="C97" s="250" t="s">
        <v>105</v>
      </c>
      <c r="D97" s="143" t="s">
        <v>113</v>
      </c>
      <c r="E97" s="142" t="s">
        <v>103</v>
      </c>
      <c r="F97" s="145"/>
      <c r="G97" s="66"/>
      <c r="H97" s="53"/>
      <c r="I97" s="52"/>
      <c r="J97" s="182"/>
      <c r="K97" s="135"/>
      <c r="L97" s="127">
        <v>4</v>
      </c>
      <c r="M97" s="127">
        <v>1</v>
      </c>
      <c r="N97" s="127">
        <f t="shared" si="59"/>
        <v>20</v>
      </c>
      <c r="O97" s="127"/>
      <c r="P97" s="127"/>
      <c r="Q97" s="127"/>
      <c r="R97" s="128">
        <f t="shared" si="60"/>
        <v>25</v>
      </c>
      <c r="T97" s="285">
        <v>11575</v>
      </c>
      <c r="U97" s="285">
        <v>20250</v>
      </c>
      <c r="V97" s="285">
        <f t="shared" si="61"/>
        <v>0</v>
      </c>
      <c r="W97" s="287"/>
      <c r="X97" s="287"/>
      <c r="Y97" s="285"/>
      <c r="Z97" s="286">
        <f t="shared" si="62"/>
        <v>31825</v>
      </c>
      <c r="AB97" s="62" t="s">
        <v>356</v>
      </c>
      <c r="AC97" s="130">
        <v>4</v>
      </c>
      <c r="AD97" s="62" t="s">
        <v>356</v>
      </c>
      <c r="AE97" s="130">
        <v>7</v>
      </c>
      <c r="AF97" s="62" t="str">
        <f t="shared" si="63"/>
        <v>-</v>
      </c>
      <c r="AG97" s="130" t="str">
        <f t="shared" si="64"/>
        <v>-</v>
      </c>
      <c r="AH97" s="62"/>
      <c r="AI97" s="63"/>
      <c r="AJ97" s="130"/>
      <c r="AK97" s="130"/>
      <c r="AL97" s="62"/>
      <c r="AM97" s="63"/>
      <c r="AO97" s="73">
        <f t="shared" si="65"/>
        <v>2</v>
      </c>
      <c r="AP97" s="73">
        <f t="shared" si="66"/>
        <v>5</v>
      </c>
      <c r="AQ97" s="73">
        <f t="shared" si="67"/>
        <v>20</v>
      </c>
      <c r="AR97" s="73" t="str">
        <f t="shared" si="68"/>
        <v>Kevés v.</v>
      </c>
      <c r="AT97" s="273" t="str">
        <f t="shared" si="69"/>
        <v/>
      </c>
      <c r="AU97" s="273" t="str">
        <f t="shared" si="70"/>
        <v/>
      </c>
      <c r="AV97" s="273" t="str">
        <f t="shared" si="56"/>
        <v/>
      </c>
      <c r="AW97" s="273" t="s">
        <v>365</v>
      </c>
      <c r="AX97" s="274"/>
      <c r="AY97" s="313">
        <f t="shared" si="71"/>
        <v>0</v>
      </c>
    </row>
    <row r="98" spans="1:51" x14ac:dyDescent="0.3">
      <c r="A98" s="68">
        <v>26</v>
      </c>
      <c r="B98" s="339" t="s">
        <v>170</v>
      </c>
      <c r="C98" s="141" t="s">
        <v>105</v>
      </c>
      <c r="D98" s="70" t="s">
        <v>113</v>
      </c>
      <c r="E98" s="143" t="s">
        <v>103</v>
      </c>
      <c r="F98" s="145"/>
      <c r="G98" s="66"/>
      <c r="H98" s="53"/>
      <c r="I98" s="52"/>
      <c r="J98" s="182"/>
      <c r="K98" s="135"/>
      <c r="L98" s="127">
        <v>2</v>
      </c>
      <c r="M98" s="127">
        <v>20</v>
      </c>
      <c r="N98" s="127">
        <f t="shared" si="59"/>
        <v>20</v>
      </c>
      <c r="O98" s="127"/>
      <c r="P98" s="127"/>
      <c r="Q98" s="127"/>
      <c r="R98" s="128">
        <f t="shared" si="60"/>
        <v>42</v>
      </c>
      <c r="T98" s="285">
        <v>10575</v>
      </c>
      <c r="U98" s="285">
        <v>0</v>
      </c>
      <c r="V98" s="285">
        <f t="shared" si="61"/>
        <v>0</v>
      </c>
      <c r="W98" s="287"/>
      <c r="X98" s="287"/>
      <c r="Y98" s="285"/>
      <c r="Z98" s="286">
        <f t="shared" si="62"/>
        <v>10575</v>
      </c>
      <c r="AB98" s="62" t="s">
        <v>360</v>
      </c>
      <c r="AC98" s="130">
        <v>10</v>
      </c>
      <c r="AD98" s="62" t="s">
        <v>185</v>
      </c>
      <c r="AE98" s="130" t="s">
        <v>185</v>
      </c>
      <c r="AF98" s="62" t="str">
        <f t="shared" si="63"/>
        <v>-</v>
      </c>
      <c r="AG98" s="130" t="str">
        <f t="shared" si="64"/>
        <v>-</v>
      </c>
      <c r="AH98" s="62"/>
      <c r="AI98" s="63"/>
      <c r="AJ98" s="130"/>
      <c r="AK98" s="130"/>
      <c r="AL98" s="62"/>
      <c r="AM98" s="63"/>
      <c r="AO98" s="73">
        <f t="shared" si="65"/>
        <v>1</v>
      </c>
      <c r="AP98" s="73">
        <f t="shared" si="66"/>
        <v>2</v>
      </c>
      <c r="AQ98" s="73">
        <f t="shared" si="67"/>
        <v>20</v>
      </c>
      <c r="AR98" s="73" t="str">
        <f t="shared" si="68"/>
        <v>Kevés v.</v>
      </c>
      <c r="AT98" s="273" t="str">
        <f t="shared" si="69"/>
        <v/>
      </c>
      <c r="AU98" s="273" t="str">
        <f t="shared" si="70"/>
        <v/>
      </c>
      <c r="AV98" s="273" t="str">
        <f t="shared" si="56"/>
        <v/>
      </c>
      <c r="AW98" s="273" t="str">
        <f t="shared" ref="AW98:AW129" si="72">IF(F98=7,IF(E98="felnőtt",31500,IF(E98="ifjúsági",23000,IF(E98="női",23000,IF(E98="gyermek",0,"")))),"")</f>
        <v/>
      </c>
      <c r="AX98" s="274"/>
      <c r="AY98" s="313">
        <f t="shared" si="71"/>
        <v>0</v>
      </c>
    </row>
    <row r="99" spans="1:51" x14ac:dyDescent="0.3">
      <c r="A99" s="68">
        <v>27</v>
      </c>
      <c r="B99" s="340" t="s">
        <v>171</v>
      </c>
      <c r="C99" s="141" t="s">
        <v>105</v>
      </c>
      <c r="D99" s="143" t="s">
        <v>113</v>
      </c>
      <c r="E99" s="142" t="s">
        <v>103</v>
      </c>
      <c r="F99" s="145"/>
      <c r="G99" s="66"/>
      <c r="H99" s="53"/>
      <c r="I99" s="52"/>
      <c r="J99" s="182"/>
      <c r="K99" s="135"/>
      <c r="L99" s="127">
        <v>7</v>
      </c>
      <c r="M99" s="127">
        <v>20</v>
      </c>
      <c r="N99" s="127">
        <f t="shared" si="59"/>
        <v>20</v>
      </c>
      <c r="O99" s="127"/>
      <c r="P99" s="127"/>
      <c r="Q99" s="127"/>
      <c r="R99" s="128">
        <f t="shared" si="60"/>
        <v>47</v>
      </c>
      <c r="T99" s="285">
        <v>9200</v>
      </c>
      <c r="U99" s="285">
        <v>0</v>
      </c>
      <c r="V99" s="285">
        <f t="shared" si="61"/>
        <v>0</v>
      </c>
      <c r="W99" s="287"/>
      <c r="X99" s="287"/>
      <c r="Y99" s="285"/>
      <c r="Z99" s="286">
        <f t="shared" si="62"/>
        <v>9200</v>
      </c>
      <c r="AB99" s="62" t="s">
        <v>359</v>
      </c>
      <c r="AC99" s="130">
        <v>7</v>
      </c>
      <c r="AD99" s="62" t="s">
        <v>185</v>
      </c>
      <c r="AE99" s="130" t="s">
        <v>185</v>
      </c>
      <c r="AF99" s="62" t="str">
        <f t="shared" si="63"/>
        <v>-</v>
      </c>
      <c r="AG99" s="130" t="str">
        <f t="shared" si="64"/>
        <v>-</v>
      </c>
      <c r="AH99" s="62"/>
      <c r="AI99" s="63"/>
      <c r="AJ99" s="130"/>
      <c r="AK99" s="130"/>
      <c r="AL99" s="62"/>
      <c r="AM99" s="63"/>
      <c r="AO99" s="73">
        <f t="shared" si="65"/>
        <v>1</v>
      </c>
      <c r="AP99" s="73">
        <f t="shared" si="66"/>
        <v>7</v>
      </c>
      <c r="AQ99" s="73">
        <f t="shared" si="67"/>
        <v>20</v>
      </c>
      <c r="AR99" s="73" t="str">
        <f t="shared" si="68"/>
        <v>Kevés v.</v>
      </c>
      <c r="AT99" s="273" t="str">
        <f t="shared" si="69"/>
        <v/>
      </c>
      <c r="AU99" s="273" t="str">
        <f t="shared" si="70"/>
        <v/>
      </c>
      <c r="AV99" s="273" t="str">
        <f t="shared" si="56"/>
        <v/>
      </c>
      <c r="AW99" s="273" t="str">
        <f t="shared" si="72"/>
        <v/>
      </c>
      <c r="AX99" s="274"/>
      <c r="AY99" s="313">
        <f t="shared" si="71"/>
        <v>0</v>
      </c>
    </row>
    <row r="100" spans="1:51" x14ac:dyDescent="0.3">
      <c r="A100" s="68">
        <v>32</v>
      </c>
      <c r="B100" s="340" t="s">
        <v>178</v>
      </c>
      <c r="C100" s="141" t="s">
        <v>177</v>
      </c>
      <c r="D100" s="143" t="s">
        <v>9</v>
      </c>
      <c r="E100" s="143" t="s">
        <v>103</v>
      </c>
      <c r="F100" s="145"/>
      <c r="G100" s="66"/>
      <c r="H100" s="53"/>
      <c r="I100" s="52"/>
      <c r="J100" s="182"/>
      <c r="K100" s="135"/>
      <c r="L100" s="127">
        <v>3</v>
      </c>
      <c r="M100" s="127">
        <v>20</v>
      </c>
      <c r="N100" s="127">
        <f t="shared" si="59"/>
        <v>20</v>
      </c>
      <c r="O100" s="127"/>
      <c r="P100" s="127"/>
      <c r="Q100" s="127"/>
      <c r="R100" s="128">
        <f t="shared" si="60"/>
        <v>43</v>
      </c>
      <c r="T100" s="285">
        <v>19025</v>
      </c>
      <c r="U100" s="285">
        <v>0</v>
      </c>
      <c r="V100" s="285">
        <f t="shared" si="61"/>
        <v>0</v>
      </c>
      <c r="W100" s="287"/>
      <c r="X100" s="287"/>
      <c r="Y100" s="285"/>
      <c r="Z100" s="286">
        <f t="shared" si="62"/>
        <v>19025</v>
      </c>
      <c r="AB100" s="62" t="s">
        <v>358</v>
      </c>
      <c r="AC100" s="130">
        <v>12</v>
      </c>
      <c r="AD100" s="62" t="s">
        <v>185</v>
      </c>
      <c r="AE100" s="130" t="s">
        <v>185</v>
      </c>
      <c r="AF100" s="62" t="str">
        <f t="shared" si="63"/>
        <v>-</v>
      </c>
      <c r="AG100" s="130" t="str">
        <f t="shared" si="64"/>
        <v>-</v>
      </c>
      <c r="AH100" s="62"/>
      <c r="AI100" s="63"/>
      <c r="AJ100" s="130"/>
      <c r="AK100" s="130"/>
      <c r="AL100" s="62"/>
      <c r="AM100" s="63"/>
      <c r="AO100" s="73">
        <f t="shared" si="65"/>
        <v>1</v>
      </c>
      <c r="AP100" s="73">
        <f t="shared" si="66"/>
        <v>3</v>
      </c>
      <c r="AQ100" s="73">
        <f t="shared" si="67"/>
        <v>20</v>
      </c>
      <c r="AR100" s="73" t="str">
        <f t="shared" si="68"/>
        <v>Kevés v.</v>
      </c>
      <c r="AT100" s="273" t="str">
        <f t="shared" si="69"/>
        <v/>
      </c>
      <c r="AU100" s="273" t="str">
        <f t="shared" si="70"/>
        <v/>
      </c>
      <c r="AV100" s="273" t="str">
        <f t="shared" ref="AV100:AV131" si="73">IF(F100=6,IF(E100="felnőtt",41500,IF(E100="ifjúsági",33000,IF(E100="női",33000,IF(E100="gyermek",5000,"")))),"")</f>
        <v/>
      </c>
      <c r="AW100" s="273" t="str">
        <f t="shared" si="72"/>
        <v/>
      </c>
      <c r="AX100" s="274"/>
      <c r="AY100" s="313">
        <f t="shared" si="71"/>
        <v>0</v>
      </c>
    </row>
    <row r="101" spans="1:51" x14ac:dyDescent="0.3">
      <c r="A101" s="68">
        <v>33</v>
      </c>
      <c r="B101" s="340" t="s">
        <v>176</v>
      </c>
      <c r="C101" s="250" t="s">
        <v>177</v>
      </c>
      <c r="D101" s="70" t="s">
        <v>9</v>
      </c>
      <c r="E101" s="142" t="s">
        <v>103</v>
      </c>
      <c r="F101" s="145"/>
      <c r="G101" s="66"/>
      <c r="H101" s="53"/>
      <c r="I101" s="52"/>
      <c r="J101" s="182"/>
      <c r="K101" s="135"/>
      <c r="L101" s="127">
        <v>12</v>
      </c>
      <c r="M101" s="127">
        <v>20</v>
      </c>
      <c r="N101" s="127">
        <f t="shared" si="59"/>
        <v>20</v>
      </c>
      <c r="O101" s="127"/>
      <c r="P101" s="127"/>
      <c r="Q101" s="127"/>
      <c r="R101" s="128">
        <f t="shared" si="60"/>
        <v>52</v>
      </c>
      <c r="T101" s="285">
        <v>9025</v>
      </c>
      <c r="U101" s="285">
        <v>0</v>
      </c>
      <c r="V101" s="285">
        <f t="shared" si="61"/>
        <v>0</v>
      </c>
      <c r="W101" s="287"/>
      <c r="X101" s="287"/>
      <c r="Y101" s="285"/>
      <c r="Z101" s="286">
        <f t="shared" si="62"/>
        <v>9025</v>
      </c>
      <c r="AB101" s="62" t="s">
        <v>358</v>
      </c>
      <c r="AC101" s="130">
        <v>11</v>
      </c>
      <c r="AD101" s="62" t="s">
        <v>185</v>
      </c>
      <c r="AE101" s="130" t="s">
        <v>185</v>
      </c>
      <c r="AF101" s="62" t="str">
        <f t="shared" si="63"/>
        <v>-</v>
      </c>
      <c r="AG101" s="130" t="str">
        <f t="shared" si="64"/>
        <v>-</v>
      </c>
      <c r="AH101" s="62"/>
      <c r="AI101" s="63"/>
      <c r="AJ101" s="130"/>
      <c r="AK101" s="130"/>
      <c r="AL101" s="62"/>
      <c r="AM101" s="63"/>
      <c r="AO101" s="73">
        <f t="shared" si="65"/>
        <v>1</v>
      </c>
      <c r="AP101" s="73">
        <f t="shared" si="66"/>
        <v>12</v>
      </c>
      <c r="AQ101" s="73">
        <f t="shared" si="67"/>
        <v>20</v>
      </c>
      <c r="AR101" s="73" t="str">
        <f t="shared" si="68"/>
        <v>Kevés v.</v>
      </c>
      <c r="AT101" s="273" t="str">
        <f t="shared" si="69"/>
        <v/>
      </c>
      <c r="AU101" s="273" t="str">
        <f t="shared" si="70"/>
        <v/>
      </c>
      <c r="AV101" s="273" t="str">
        <f t="shared" si="73"/>
        <v/>
      </c>
      <c r="AW101" s="273" t="str">
        <f t="shared" si="72"/>
        <v/>
      </c>
      <c r="AX101" s="274"/>
      <c r="AY101" s="313">
        <f t="shared" si="71"/>
        <v>0</v>
      </c>
    </row>
    <row r="102" spans="1:51" x14ac:dyDescent="0.3">
      <c r="A102" s="68">
        <v>35</v>
      </c>
      <c r="B102" s="340" t="s">
        <v>215</v>
      </c>
      <c r="C102" s="250" t="s">
        <v>216</v>
      </c>
      <c r="D102" s="70" t="s">
        <v>9</v>
      </c>
      <c r="E102" s="142" t="s">
        <v>103</v>
      </c>
      <c r="F102" s="145"/>
      <c r="G102" s="66"/>
      <c r="H102" s="53"/>
      <c r="I102" s="52"/>
      <c r="J102" s="182"/>
      <c r="K102" s="135"/>
      <c r="L102" s="127">
        <v>10</v>
      </c>
      <c r="M102" s="127">
        <v>20</v>
      </c>
      <c r="N102" s="127">
        <f t="shared" si="59"/>
        <v>20</v>
      </c>
      <c r="O102" s="127"/>
      <c r="P102" s="127"/>
      <c r="Q102" s="127"/>
      <c r="R102" s="128">
        <f t="shared" si="60"/>
        <v>50</v>
      </c>
      <c r="T102" s="285">
        <v>10675</v>
      </c>
      <c r="U102" s="285">
        <v>0</v>
      </c>
      <c r="V102" s="285">
        <f t="shared" si="61"/>
        <v>0</v>
      </c>
      <c r="W102" s="287"/>
      <c r="X102" s="287"/>
      <c r="Y102" s="285"/>
      <c r="Z102" s="286">
        <f t="shared" si="62"/>
        <v>10675</v>
      </c>
      <c r="AB102" s="62" t="s">
        <v>358</v>
      </c>
      <c r="AC102" s="130">
        <v>4</v>
      </c>
      <c r="AD102" s="62" t="s">
        <v>185</v>
      </c>
      <c r="AE102" s="130" t="s">
        <v>185</v>
      </c>
      <c r="AF102" s="62" t="str">
        <f t="shared" si="63"/>
        <v>-</v>
      </c>
      <c r="AG102" s="130" t="str">
        <f t="shared" si="64"/>
        <v>-</v>
      </c>
      <c r="AH102" s="62"/>
      <c r="AI102" s="63"/>
      <c r="AJ102" s="130"/>
      <c r="AK102" s="130"/>
      <c r="AL102" s="62"/>
      <c r="AM102" s="63"/>
      <c r="AO102" s="73">
        <f t="shared" si="65"/>
        <v>1</v>
      </c>
      <c r="AP102" s="73">
        <f t="shared" si="66"/>
        <v>10</v>
      </c>
      <c r="AQ102" s="73">
        <f t="shared" si="67"/>
        <v>20</v>
      </c>
      <c r="AR102" s="73" t="str">
        <f t="shared" si="68"/>
        <v>Kevés v.</v>
      </c>
      <c r="AT102" s="273" t="str">
        <f t="shared" si="69"/>
        <v/>
      </c>
      <c r="AU102" s="273" t="str">
        <f t="shared" si="70"/>
        <v/>
      </c>
      <c r="AV102" s="273" t="str">
        <f t="shared" si="73"/>
        <v/>
      </c>
      <c r="AW102" s="273" t="str">
        <f t="shared" si="72"/>
        <v/>
      </c>
      <c r="AX102" s="274"/>
      <c r="AY102" s="313">
        <f t="shared" si="71"/>
        <v>0</v>
      </c>
    </row>
    <row r="103" spans="1:51" x14ac:dyDescent="0.3">
      <c r="A103" s="68">
        <v>36</v>
      </c>
      <c r="B103" s="340" t="s">
        <v>212</v>
      </c>
      <c r="C103" s="141" t="s">
        <v>213</v>
      </c>
      <c r="D103" s="143" t="s">
        <v>116</v>
      </c>
      <c r="E103" s="142" t="s">
        <v>103</v>
      </c>
      <c r="F103" s="145"/>
      <c r="G103" s="66"/>
      <c r="H103" s="53"/>
      <c r="I103" s="52"/>
      <c r="J103" s="182"/>
      <c r="K103" s="135"/>
      <c r="L103" s="127">
        <v>8.5</v>
      </c>
      <c r="M103" s="127">
        <v>20</v>
      </c>
      <c r="N103" s="127">
        <f t="shared" si="59"/>
        <v>20</v>
      </c>
      <c r="O103" s="127"/>
      <c r="P103" s="127"/>
      <c r="Q103" s="127"/>
      <c r="R103" s="128">
        <f t="shared" si="60"/>
        <v>48.5</v>
      </c>
      <c r="T103" s="285">
        <v>0</v>
      </c>
      <c r="U103" s="285">
        <v>0</v>
      </c>
      <c r="V103" s="285">
        <f t="shared" si="61"/>
        <v>0</v>
      </c>
      <c r="W103" s="287"/>
      <c r="X103" s="287"/>
      <c r="Y103" s="285"/>
      <c r="Z103" s="286">
        <f t="shared" si="62"/>
        <v>0</v>
      </c>
      <c r="AB103" s="62" t="s">
        <v>354</v>
      </c>
      <c r="AC103" s="130">
        <v>10</v>
      </c>
      <c r="AD103" s="62" t="s">
        <v>185</v>
      </c>
      <c r="AE103" s="130" t="s">
        <v>185</v>
      </c>
      <c r="AF103" s="62" t="str">
        <f t="shared" si="63"/>
        <v>-</v>
      </c>
      <c r="AG103" s="130" t="str">
        <f t="shared" si="64"/>
        <v>-</v>
      </c>
      <c r="AH103" s="62"/>
      <c r="AI103" s="63"/>
      <c r="AJ103" s="130"/>
      <c r="AK103" s="130"/>
      <c r="AL103" s="62"/>
      <c r="AM103" s="63"/>
      <c r="AO103" s="73">
        <f t="shared" si="65"/>
        <v>1</v>
      </c>
      <c r="AP103" s="73">
        <f t="shared" si="66"/>
        <v>8.5</v>
      </c>
      <c r="AQ103" s="73">
        <f t="shared" si="67"/>
        <v>20</v>
      </c>
      <c r="AR103" s="73" t="str">
        <f t="shared" si="68"/>
        <v>Kevés v.</v>
      </c>
      <c r="AT103" s="273" t="str">
        <f t="shared" si="69"/>
        <v/>
      </c>
      <c r="AU103" s="273" t="str">
        <f t="shared" si="70"/>
        <v/>
      </c>
      <c r="AV103" s="273" t="str">
        <f t="shared" si="73"/>
        <v/>
      </c>
      <c r="AW103" s="273" t="str">
        <f t="shared" si="72"/>
        <v/>
      </c>
      <c r="AX103" s="274"/>
      <c r="AY103" s="324">
        <f t="shared" si="71"/>
        <v>0</v>
      </c>
    </row>
    <row r="104" spans="1:51" x14ac:dyDescent="0.3">
      <c r="A104" s="68">
        <v>38</v>
      </c>
      <c r="B104" s="339" t="s">
        <v>217</v>
      </c>
      <c r="C104" s="141" t="s">
        <v>218</v>
      </c>
      <c r="D104" s="143" t="s">
        <v>9</v>
      </c>
      <c r="E104" s="142" t="s">
        <v>103</v>
      </c>
      <c r="F104" s="145"/>
      <c r="G104" s="66"/>
      <c r="H104" s="53"/>
      <c r="I104" s="52"/>
      <c r="J104" s="182"/>
      <c r="K104" s="135">
        <v>1</v>
      </c>
      <c r="L104" s="127">
        <v>10</v>
      </c>
      <c r="M104" s="127">
        <v>2</v>
      </c>
      <c r="N104" s="127">
        <f t="shared" si="59"/>
        <v>20</v>
      </c>
      <c r="O104" s="127"/>
      <c r="P104" s="127"/>
      <c r="Q104" s="127"/>
      <c r="R104" s="128">
        <f t="shared" si="60"/>
        <v>32</v>
      </c>
      <c r="T104" s="285">
        <v>11000</v>
      </c>
      <c r="U104" s="285">
        <v>30450</v>
      </c>
      <c r="V104" s="285">
        <f t="shared" si="61"/>
        <v>0</v>
      </c>
      <c r="W104" s="287"/>
      <c r="X104" s="287"/>
      <c r="Y104" s="285"/>
      <c r="Z104" s="286">
        <f t="shared" si="62"/>
        <v>41450</v>
      </c>
      <c r="AB104" s="62" t="s">
        <v>361</v>
      </c>
      <c r="AC104" s="130">
        <v>10</v>
      </c>
      <c r="AD104" s="62" t="s">
        <v>354</v>
      </c>
      <c r="AE104" s="130">
        <v>2</v>
      </c>
      <c r="AF104" s="62" t="str">
        <f t="shared" si="63"/>
        <v>-</v>
      </c>
      <c r="AG104" s="130" t="str">
        <f t="shared" si="64"/>
        <v>-</v>
      </c>
      <c r="AH104" s="62"/>
      <c r="AI104" s="63"/>
      <c r="AJ104" s="130"/>
      <c r="AK104" s="130"/>
      <c r="AL104" s="62"/>
      <c r="AM104" s="63"/>
      <c r="AO104" s="73">
        <f t="shared" si="65"/>
        <v>2</v>
      </c>
      <c r="AP104" s="73">
        <f t="shared" si="66"/>
        <v>12</v>
      </c>
      <c r="AQ104" s="73">
        <f t="shared" si="67"/>
        <v>20</v>
      </c>
      <c r="AR104" s="73" t="str">
        <f t="shared" si="68"/>
        <v>Kevés v.</v>
      </c>
      <c r="AT104" s="273" t="str">
        <f t="shared" si="69"/>
        <v/>
      </c>
      <c r="AU104" s="273" t="str">
        <f t="shared" si="70"/>
        <v/>
      </c>
      <c r="AV104" s="273" t="str">
        <f t="shared" si="73"/>
        <v/>
      </c>
      <c r="AW104" s="273" t="str">
        <f t="shared" si="72"/>
        <v/>
      </c>
      <c r="AX104" s="274"/>
      <c r="AY104" s="313">
        <f t="shared" si="71"/>
        <v>0</v>
      </c>
    </row>
    <row r="105" spans="1:51" x14ac:dyDescent="0.3">
      <c r="A105" s="68">
        <v>39</v>
      </c>
      <c r="B105" s="339" t="s">
        <v>219</v>
      </c>
      <c r="C105" s="141" t="s">
        <v>220</v>
      </c>
      <c r="D105" s="143" t="s">
        <v>9</v>
      </c>
      <c r="E105" s="142" t="s">
        <v>103</v>
      </c>
      <c r="F105" s="145"/>
      <c r="G105" s="66"/>
      <c r="H105" s="53"/>
      <c r="I105" s="52"/>
      <c r="J105" s="182"/>
      <c r="K105" s="135">
        <v>1</v>
      </c>
      <c r="L105" s="127">
        <v>3</v>
      </c>
      <c r="M105" s="127">
        <v>4</v>
      </c>
      <c r="N105" s="127">
        <f t="shared" si="59"/>
        <v>20</v>
      </c>
      <c r="O105" s="127"/>
      <c r="P105" s="127"/>
      <c r="Q105" s="127"/>
      <c r="R105" s="128">
        <f t="shared" si="60"/>
        <v>27</v>
      </c>
      <c r="T105" s="285">
        <v>18925</v>
      </c>
      <c r="U105" s="285">
        <v>25150</v>
      </c>
      <c r="V105" s="285">
        <f t="shared" si="61"/>
        <v>0</v>
      </c>
      <c r="W105" s="287"/>
      <c r="X105" s="287"/>
      <c r="Y105" s="285"/>
      <c r="Z105" s="286">
        <f t="shared" si="62"/>
        <v>44075</v>
      </c>
      <c r="AB105" s="62" t="s">
        <v>362</v>
      </c>
      <c r="AC105" s="130">
        <v>1</v>
      </c>
      <c r="AD105" s="62" t="s">
        <v>353</v>
      </c>
      <c r="AE105" s="130">
        <v>6</v>
      </c>
      <c r="AF105" s="62" t="str">
        <f t="shared" si="63"/>
        <v>-</v>
      </c>
      <c r="AG105" s="130" t="str">
        <f t="shared" si="64"/>
        <v>-</v>
      </c>
      <c r="AH105" s="62"/>
      <c r="AI105" s="63"/>
      <c r="AJ105" s="130"/>
      <c r="AK105" s="130"/>
      <c r="AL105" s="62"/>
      <c r="AM105" s="63"/>
      <c r="AO105" s="73">
        <f t="shared" si="65"/>
        <v>2</v>
      </c>
      <c r="AP105" s="73">
        <f t="shared" si="66"/>
        <v>7</v>
      </c>
      <c r="AQ105" s="73">
        <f t="shared" si="67"/>
        <v>20</v>
      </c>
      <c r="AR105" s="73" t="str">
        <f t="shared" si="68"/>
        <v>Kevés v.</v>
      </c>
      <c r="AT105" s="273" t="str">
        <f t="shared" si="69"/>
        <v/>
      </c>
      <c r="AU105" s="273" t="str">
        <f t="shared" si="70"/>
        <v/>
      </c>
      <c r="AV105" s="273" t="str">
        <f t="shared" si="73"/>
        <v/>
      </c>
      <c r="AW105" s="273" t="str">
        <f t="shared" si="72"/>
        <v/>
      </c>
      <c r="AX105" s="274"/>
      <c r="AY105" s="313">
        <f t="shared" si="71"/>
        <v>0</v>
      </c>
    </row>
    <row r="106" spans="1:51" x14ac:dyDescent="0.3">
      <c r="A106" s="68">
        <v>40</v>
      </c>
      <c r="B106" s="339" t="s">
        <v>221</v>
      </c>
      <c r="C106" s="250" t="s">
        <v>222</v>
      </c>
      <c r="D106" s="143" t="s">
        <v>9</v>
      </c>
      <c r="E106" s="142" t="s">
        <v>103</v>
      </c>
      <c r="F106" s="145"/>
      <c r="G106" s="66"/>
      <c r="H106" s="53"/>
      <c r="I106" s="52"/>
      <c r="J106" s="182"/>
      <c r="K106" s="135">
        <v>1</v>
      </c>
      <c r="L106" s="127">
        <v>9</v>
      </c>
      <c r="M106" s="127">
        <v>20</v>
      </c>
      <c r="N106" s="127">
        <f t="shared" si="59"/>
        <v>20</v>
      </c>
      <c r="O106" s="127"/>
      <c r="P106" s="127"/>
      <c r="Q106" s="127"/>
      <c r="R106" s="128">
        <f t="shared" si="60"/>
        <v>49</v>
      </c>
      <c r="T106" s="285">
        <v>12050</v>
      </c>
      <c r="U106" s="285">
        <v>0</v>
      </c>
      <c r="V106" s="285">
        <f t="shared" si="61"/>
        <v>0</v>
      </c>
      <c r="W106" s="287"/>
      <c r="X106" s="287"/>
      <c r="Y106" s="285"/>
      <c r="Z106" s="286">
        <f t="shared" si="62"/>
        <v>12050</v>
      </c>
      <c r="AB106" s="62" t="s">
        <v>358</v>
      </c>
      <c r="AC106" s="130">
        <v>5</v>
      </c>
      <c r="AD106" s="62" t="s">
        <v>185</v>
      </c>
      <c r="AE106" s="130" t="s">
        <v>185</v>
      </c>
      <c r="AF106" s="62" t="str">
        <f t="shared" si="63"/>
        <v>-</v>
      </c>
      <c r="AG106" s="130" t="str">
        <f t="shared" si="64"/>
        <v>-</v>
      </c>
      <c r="AH106" s="62"/>
      <c r="AI106" s="63"/>
      <c r="AJ106" s="130"/>
      <c r="AK106" s="130"/>
      <c r="AL106" s="62"/>
      <c r="AM106" s="63"/>
      <c r="AO106" s="73">
        <f t="shared" si="65"/>
        <v>1</v>
      </c>
      <c r="AP106" s="73">
        <f t="shared" si="66"/>
        <v>9</v>
      </c>
      <c r="AQ106" s="73">
        <f t="shared" si="67"/>
        <v>20</v>
      </c>
      <c r="AR106" s="73" t="str">
        <f t="shared" si="68"/>
        <v>Kevés v.</v>
      </c>
      <c r="AT106" s="273" t="str">
        <f t="shared" si="69"/>
        <v/>
      </c>
      <c r="AU106" s="273" t="str">
        <f t="shared" si="70"/>
        <v/>
      </c>
      <c r="AV106" s="273" t="str">
        <f t="shared" si="73"/>
        <v/>
      </c>
      <c r="AW106" s="273" t="str">
        <f t="shared" si="72"/>
        <v/>
      </c>
      <c r="AX106" s="274"/>
      <c r="AY106" s="313">
        <f t="shared" si="71"/>
        <v>0</v>
      </c>
    </row>
    <row r="107" spans="1:51" x14ac:dyDescent="0.3">
      <c r="A107" s="68">
        <v>42</v>
      </c>
      <c r="B107" s="340" t="s">
        <v>224</v>
      </c>
      <c r="C107" s="141" t="s">
        <v>225</v>
      </c>
      <c r="D107" s="143" t="s">
        <v>192</v>
      </c>
      <c r="E107" s="142" t="s">
        <v>10</v>
      </c>
      <c r="F107" s="145"/>
      <c r="G107" s="66"/>
      <c r="H107" s="53"/>
      <c r="I107" s="52"/>
      <c r="J107" s="182"/>
      <c r="K107" s="135"/>
      <c r="L107" s="127">
        <v>6</v>
      </c>
      <c r="M107" s="127">
        <v>20</v>
      </c>
      <c r="N107" s="127">
        <f t="shared" si="59"/>
        <v>20</v>
      </c>
      <c r="O107" s="127"/>
      <c r="P107" s="127"/>
      <c r="Q107" s="127"/>
      <c r="R107" s="128">
        <f t="shared" si="60"/>
        <v>46</v>
      </c>
      <c r="T107" s="285">
        <v>0</v>
      </c>
      <c r="U107" s="285">
        <v>0</v>
      </c>
      <c r="V107" s="285">
        <f t="shared" si="61"/>
        <v>0</v>
      </c>
      <c r="W107" s="287"/>
      <c r="X107" s="287"/>
      <c r="Y107" s="285"/>
      <c r="Z107" s="286">
        <f t="shared" si="62"/>
        <v>0</v>
      </c>
      <c r="AB107" s="62" t="s">
        <v>363</v>
      </c>
      <c r="AC107" s="130">
        <v>1</v>
      </c>
      <c r="AD107" s="62" t="s">
        <v>185</v>
      </c>
      <c r="AE107" s="130" t="s">
        <v>185</v>
      </c>
      <c r="AF107" s="62" t="str">
        <f t="shared" si="63"/>
        <v>-</v>
      </c>
      <c r="AG107" s="130" t="str">
        <f t="shared" si="64"/>
        <v>-</v>
      </c>
      <c r="AH107" s="62"/>
      <c r="AI107" s="63"/>
      <c r="AJ107" s="130"/>
      <c r="AK107" s="130"/>
      <c r="AL107" s="62"/>
      <c r="AM107" s="63"/>
      <c r="AO107" s="73">
        <f t="shared" si="65"/>
        <v>1</v>
      </c>
      <c r="AP107" s="73">
        <f t="shared" si="66"/>
        <v>6</v>
      </c>
      <c r="AQ107" s="73">
        <f t="shared" si="67"/>
        <v>20</v>
      </c>
      <c r="AR107" s="73" t="str">
        <f t="shared" si="68"/>
        <v>Kevés v.</v>
      </c>
      <c r="AT107" s="273" t="str">
        <f t="shared" si="69"/>
        <v/>
      </c>
      <c r="AU107" s="273" t="str">
        <f t="shared" si="70"/>
        <v/>
      </c>
      <c r="AV107" s="273" t="str">
        <f t="shared" si="73"/>
        <v/>
      </c>
      <c r="AW107" s="273" t="str">
        <f t="shared" si="72"/>
        <v/>
      </c>
      <c r="AX107" s="274"/>
      <c r="AY107" s="313">
        <f t="shared" si="71"/>
        <v>0</v>
      </c>
    </row>
    <row r="108" spans="1:51" x14ac:dyDescent="0.3">
      <c r="A108" s="68">
        <v>43</v>
      </c>
      <c r="B108" s="340" t="s">
        <v>226</v>
      </c>
      <c r="C108" s="141" t="s">
        <v>227</v>
      </c>
      <c r="D108" s="143" t="s">
        <v>116</v>
      </c>
      <c r="E108" s="142" t="s">
        <v>103</v>
      </c>
      <c r="F108" s="145"/>
      <c r="G108" s="66"/>
      <c r="H108" s="53"/>
      <c r="I108" s="52"/>
      <c r="J108" s="182"/>
      <c r="K108" s="135"/>
      <c r="L108" s="127">
        <v>5</v>
      </c>
      <c r="M108" s="127">
        <v>20</v>
      </c>
      <c r="N108" s="127">
        <f t="shared" si="59"/>
        <v>20</v>
      </c>
      <c r="O108" s="127"/>
      <c r="P108" s="127"/>
      <c r="Q108" s="127"/>
      <c r="R108" s="128">
        <f t="shared" si="60"/>
        <v>45</v>
      </c>
      <c r="T108" s="285">
        <v>2400</v>
      </c>
      <c r="U108" s="285">
        <v>0</v>
      </c>
      <c r="V108" s="285">
        <f t="shared" si="61"/>
        <v>0</v>
      </c>
      <c r="W108" s="287"/>
      <c r="X108" s="287"/>
      <c r="Y108" s="285"/>
      <c r="Z108" s="286">
        <f t="shared" si="62"/>
        <v>2400</v>
      </c>
      <c r="AB108" s="62" t="s">
        <v>355</v>
      </c>
      <c r="AC108" s="130">
        <v>8</v>
      </c>
      <c r="AD108" s="62" t="s">
        <v>185</v>
      </c>
      <c r="AE108" s="130" t="s">
        <v>185</v>
      </c>
      <c r="AF108" s="62" t="str">
        <f t="shared" si="63"/>
        <v>-</v>
      </c>
      <c r="AG108" s="130" t="str">
        <f t="shared" si="64"/>
        <v>-</v>
      </c>
      <c r="AH108" s="62"/>
      <c r="AI108" s="63"/>
      <c r="AJ108" s="130"/>
      <c r="AK108" s="130"/>
      <c r="AL108" s="62"/>
      <c r="AM108" s="63"/>
      <c r="AO108" s="73">
        <f t="shared" si="65"/>
        <v>1</v>
      </c>
      <c r="AP108" s="73">
        <f t="shared" si="66"/>
        <v>5</v>
      </c>
      <c r="AQ108" s="73">
        <f t="shared" si="67"/>
        <v>20</v>
      </c>
      <c r="AR108" s="73" t="str">
        <f t="shared" si="68"/>
        <v>Kevés v.</v>
      </c>
      <c r="AT108" s="273" t="str">
        <f t="shared" si="69"/>
        <v/>
      </c>
      <c r="AU108" s="273" t="str">
        <f t="shared" si="70"/>
        <v/>
      </c>
      <c r="AV108" s="273" t="str">
        <f t="shared" si="73"/>
        <v/>
      </c>
      <c r="AW108" s="273" t="str">
        <f t="shared" si="72"/>
        <v/>
      </c>
      <c r="AX108" s="274"/>
      <c r="AY108" s="313">
        <f t="shared" si="71"/>
        <v>0</v>
      </c>
    </row>
    <row r="109" spans="1:51" x14ac:dyDescent="0.3">
      <c r="A109" s="68">
        <v>45</v>
      </c>
      <c r="B109" s="340" t="s">
        <v>230</v>
      </c>
      <c r="C109" s="250" t="s">
        <v>231</v>
      </c>
      <c r="D109" s="143" t="s">
        <v>116</v>
      </c>
      <c r="E109" s="142" t="s">
        <v>103</v>
      </c>
      <c r="F109" s="145"/>
      <c r="G109" s="66"/>
      <c r="H109" s="53"/>
      <c r="I109" s="52"/>
      <c r="J109" s="182"/>
      <c r="K109" s="135"/>
      <c r="L109" s="127">
        <v>2</v>
      </c>
      <c r="M109" s="127">
        <v>8</v>
      </c>
      <c r="N109" s="127">
        <f t="shared" si="59"/>
        <v>20</v>
      </c>
      <c r="O109" s="127"/>
      <c r="P109" s="127"/>
      <c r="Q109" s="127"/>
      <c r="R109" s="128">
        <f t="shared" si="60"/>
        <v>30</v>
      </c>
      <c r="T109" s="285">
        <v>6300</v>
      </c>
      <c r="U109" s="285">
        <v>7600</v>
      </c>
      <c r="V109" s="285">
        <f t="shared" si="61"/>
        <v>0</v>
      </c>
      <c r="W109" s="287"/>
      <c r="X109" s="287"/>
      <c r="Y109" s="285"/>
      <c r="Z109" s="286">
        <f t="shared" si="62"/>
        <v>13900</v>
      </c>
      <c r="AB109" s="62" t="s">
        <v>355</v>
      </c>
      <c r="AC109" s="130">
        <v>2</v>
      </c>
      <c r="AD109" s="62" t="s">
        <v>360</v>
      </c>
      <c r="AE109" s="130">
        <v>7</v>
      </c>
      <c r="AF109" s="62" t="str">
        <f t="shared" si="63"/>
        <v>-</v>
      </c>
      <c r="AG109" s="130" t="str">
        <f t="shared" si="64"/>
        <v>-</v>
      </c>
      <c r="AH109" s="62"/>
      <c r="AI109" s="63"/>
      <c r="AJ109" s="130"/>
      <c r="AK109" s="130"/>
      <c r="AL109" s="62"/>
      <c r="AM109" s="63"/>
      <c r="AO109" s="73">
        <f t="shared" si="65"/>
        <v>2</v>
      </c>
      <c r="AP109" s="73">
        <f t="shared" si="66"/>
        <v>10</v>
      </c>
      <c r="AQ109" s="73">
        <f t="shared" si="67"/>
        <v>20</v>
      </c>
      <c r="AR109" s="73" t="str">
        <f t="shared" si="68"/>
        <v>Kevés v.</v>
      </c>
      <c r="AT109" s="273" t="str">
        <f t="shared" si="69"/>
        <v/>
      </c>
      <c r="AU109" s="273" t="str">
        <f t="shared" si="70"/>
        <v/>
      </c>
      <c r="AV109" s="273" t="str">
        <f t="shared" si="73"/>
        <v/>
      </c>
      <c r="AW109" s="273" t="str">
        <f t="shared" si="72"/>
        <v/>
      </c>
      <c r="AX109" s="274"/>
      <c r="AY109" s="313">
        <f t="shared" si="71"/>
        <v>0</v>
      </c>
    </row>
    <row r="110" spans="1:51" x14ac:dyDescent="0.3">
      <c r="A110" s="68">
        <v>46</v>
      </c>
      <c r="B110" s="340" t="s">
        <v>232</v>
      </c>
      <c r="C110" s="250" t="s">
        <v>231</v>
      </c>
      <c r="D110" s="70" t="s">
        <v>116</v>
      </c>
      <c r="E110" s="142" t="s">
        <v>103</v>
      </c>
      <c r="F110" s="145"/>
      <c r="G110" s="66"/>
      <c r="H110" s="53"/>
      <c r="I110" s="52"/>
      <c r="J110" s="182"/>
      <c r="K110" s="135"/>
      <c r="L110" s="127">
        <v>5</v>
      </c>
      <c r="M110" s="127">
        <v>9</v>
      </c>
      <c r="N110" s="127">
        <f t="shared" si="59"/>
        <v>20</v>
      </c>
      <c r="O110" s="127"/>
      <c r="P110" s="127"/>
      <c r="Q110" s="127"/>
      <c r="R110" s="128">
        <f t="shared" si="60"/>
        <v>34</v>
      </c>
      <c r="T110" s="285">
        <v>5000</v>
      </c>
      <c r="U110" s="285">
        <v>6925</v>
      </c>
      <c r="V110" s="285">
        <f t="shared" si="61"/>
        <v>0</v>
      </c>
      <c r="W110" s="287"/>
      <c r="X110" s="287"/>
      <c r="Y110" s="285"/>
      <c r="Z110" s="286">
        <f t="shared" si="62"/>
        <v>11925</v>
      </c>
      <c r="AB110" s="62" t="s">
        <v>354</v>
      </c>
      <c r="AC110" s="130">
        <v>2</v>
      </c>
      <c r="AD110" s="62" t="s">
        <v>360</v>
      </c>
      <c r="AE110" s="130">
        <v>3</v>
      </c>
      <c r="AF110" s="62" t="str">
        <f t="shared" si="63"/>
        <v>-</v>
      </c>
      <c r="AG110" s="130" t="str">
        <f t="shared" si="64"/>
        <v>-</v>
      </c>
      <c r="AH110" s="62"/>
      <c r="AI110" s="63"/>
      <c r="AJ110" s="130"/>
      <c r="AK110" s="130"/>
      <c r="AL110" s="62"/>
      <c r="AM110" s="63"/>
      <c r="AO110" s="73">
        <f t="shared" si="65"/>
        <v>2</v>
      </c>
      <c r="AP110" s="73">
        <f t="shared" si="66"/>
        <v>14</v>
      </c>
      <c r="AQ110" s="73">
        <f t="shared" si="67"/>
        <v>20</v>
      </c>
      <c r="AR110" s="73" t="str">
        <f t="shared" si="68"/>
        <v>Kevés v.</v>
      </c>
      <c r="AT110" s="273" t="str">
        <f t="shared" si="69"/>
        <v/>
      </c>
      <c r="AU110" s="273" t="str">
        <f t="shared" si="70"/>
        <v/>
      </c>
      <c r="AV110" s="273" t="str">
        <f t="shared" si="73"/>
        <v/>
      </c>
      <c r="AW110" s="273" t="str">
        <f t="shared" si="72"/>
        <v/>
      </c>
      <c r="AX110" s="274"/>
      <c r="AY110" s="313">
        <f t="shared" si="71"/>
        <v>0</v>
      </c>
    </row>
    <row r="111" spans="1:51" x14ac:dyDescent="0.3">
      <c r="A111" s="68">
        <v>47</v>
      </c>
      <c r="B111" s="339" t="s">
        <v>233</v>
      </c>
      <c r="C111" s="141" t="s">
        <v>163</v>
      </c>
      <c r="D111" s="143" t="s">
        <v>116</v>
      </c>
      <c r="E111" s="142" t="s">
        <v>103</v>
      </c>
      <c r="F111" s="145"/>
      <c r="G111" s="66"/>
      <c r="H111" s="53"/>
      <c r="I111" s="52"/>
      <c r="J111" s="182"/>
      <c r="K111" s="135"/>
      <c r="L111" s="127">
        <v>20</v>
      </c>
      <c r="M111" s="127">
        <v>20</v>
      </c>
      <c r="N111" s="127">
        <f t="shared" si="59"/>
        <v>20</v>
      </c>
      <c r="O111" s="127"/>
      <c r="P111" s="127"/>
      <c r="Q111" s="127"/>
      <c r="R111" s="128">
        <f t="shared" si="60"/>
        <v>60</v>
      </c>
      <c r="T111" s="285">
        <v>0</v>
      </c>
      <c r="U111" s="285">
        <v>0</v>
      </c>
      <c r="V111" s="285">
        <f t="shared" si="61"/>
        <v>0</v>
      </c>
      <c r="W111" s="287"/>
      <c r="X111" s="287"/>
      <c r="Y111" s="285"/>
      <c r="Z111" s="286">
        <f t="shared" si="62"/>
        <v>0</v>
      </c>
      <c r="AB111" s="62" t="s">
        <v>185</v>
      </c>
      <c r="AC111" s="130" t="s">
        <v>185</v>
      </c>
      <c r="AD111" s="62" t="s">
        <v>185</v>
      </c>
      <c r="AE111" s="130" t="s">
        <v>185</v>
      </c>
      <c r="AF111" s="62" t="str">
        <f t="shared" si="63"/>
        <v>-</v>
      </c>
      <c r="AG111" s="130" t="str">
        <f t="shared" si="64"/>
        <v>-</v>
      </c>
      <c r="AH111" s="62"/>
      <c r="AI111" s="63"/>
      <c r="AJ111" s="130"/>
      <c r="AK111" s="130"/>
      <c r="AL111" s="62"/>
      <c r="AM111" s="63"/>
      <c r="AO111" s="73">
        <f t="shared" si="65"/>
        <v>0</v>
      </c>
      <c r="AP111" s="73">
        <f t="shared" si="66"/>
        <v>0</v>
      </c>
      <c r="AQ111" s="73">
        <f t="shared" si="67"/>
        <v>20</v>
      </c>
      <c r="AR111" s="73" t="str">
        <f t="shared" si="68"/>
        <v>Kevés v.</v>
      </c>
      <c r="AT111" s="273" t="str">
        <f t="shared" si="69"/>
        <v/>
      </c>
      <c r="AU111" s="273" t="str">
        <f t="shared" si="70"/>
        <v/>
      </c>
      <c r="AV111" s="273" t="str">
        <f t="shared" si="73"/>
        <v/>
      </c>
      <c r="AW111" s="273" t="str">
        <f t="shared" si="72"/>
        <v/>
      </c>
      <c r="AX111" s="274"/>
      <c r="AY111" s="313">
        <f t="shared" si="71"/>
        <v>0</v>
      </c>
    </row>
    <row r="112" spans="1:51" x14ac:dyDescent="0.3">
      <c r="A112" s="68">
        <v>49</v>
      </c>
      <c r="B112" s="339" t="s">
        <v>235</v>
      </c>
      <c r="C112" s="141" t="s">
        <v>243</v>
      </c>
      <c r="D112" s="143" t="s">
        <v>116</v>
      </c>
      <c r="E112" s="143" t="s">
        <v>103</v>
      </c>
      <c r="F112" s="145"/>
      <c r="G112" s="66"/>
      <c r="H112" s="53"/>
      <c r="I112" s="52"/>
      <c r="J112" s="182"/>
      <c r="K112" s="135">
        <v>1</v>
      </c>
      <c r="L112" s="127">
        <v>3</v>
      </c>
      <c r="M112" s="127">
        <v>10</v>
      </c>
      <c r="N112" s="127">
        <f t="shared" si="59"/>
        <v>20</v>
      </c>
      <c r="O112" s="127"/>
      <c r="P112" s="127"/>
      <c r="Q112" s="127"/>
      <c r="R112" s="128">
        <f t="shared" si="60"/>
        <v>33</v>
      </c>
      <c r="T112" s="285">
        <v>16045</v>
      </c>
      <c r="U112" s="285">
        <v>3050</v>
      </c>
      <c r="V112" s="285">
        <f t="shared" si="61"/>
        <v>0</v>
      </c>
      <c r="W112" s="287"/>
      <c r="X112" s="287"/>
      <c r="Y112" s="285"/>
      <c r="Z112" s="286">
        <f t="shared" si="62"/>
        <v>19095</v>
      </c>
      <c r="AB112" s="62" t="s">
        <v>357</v>
      </c>
      <c r="AC112" s="130">
        <v>6</v>
      </c>
      <c r="AD112" s="62" t="s">
        <v>355</v>
      </c>
      <c r="AE112" s="130">
        <v>7</v>
      </c>
      <c r="AF112" s="62" t="str">
        <f t="shared" si="63"/>
        <v>-</v>
      </c>
      <c r="AG112" s="130" t="str">
        <f t="shared" si="64"/>
        <v>-</v>
      </c>
      <c r="AH112" s="62"/>
      <c r="AI112" s="63"/>
      <c r="AJ112" s="130"/>
      <c r="AK112" s="130"/>
      <c r="AL112" s="62"/>
      <c r="AM112" s="63"/>
      <c r="AO112" s="73">
        <f t="shared" si="65"/>
        <v>2</v>
      </c>
      <c r="AP112" s="73">
        <f t="shared" si="66"/>
        <v>13</v>
      </c>
      <c r="AQ112" s="73">
        <f t="shared" si="67"/>
        <v>20</v>
      </c>
      <c r="AR112" s="73" t="str">
        <f t="shared" si="68"/>
        <v>Kevés v.</v>
      </c>
      <c r="AT112" s="273" t="str">
        <f t="shared" si="69"/>
        <v/>
      </c>
      <c r="AU112" s="273" t="str">
        <f t="shared" si="70"/>
        <v/>
      </c>
      <c r="AV112" s="273" t="str">
        <f t="shared" si="73"/>
        <v/>
      </c>
      <c r="AW112" s="273" t="str">
        <f t="shared" si="72"/>
        <v/>
      </c>
      <c r="AX112" s="274"/>
      <c r="AY112" s="313">
        <f t="shared" si="71"/>
        <v>0</v>
      </c>
    </row>
    <row r="113" spans="1:51" x14ac:dyDescent="0.3">
      <c r="A113" s="68">
        <v>51</v>
      </c>
      <c r="B113" s="339" t="s">
        <v>238</v>
      </c>
      <c r="C113" s="250" t="s">
        <v>216</v>
      </c>
      <c r="D113" s="70" t="s">
        <v>9</v>
      </c>
      <c r="E113" s="142" t="s">
        <v>108</v>
      </c>
      <c r="F113" s="145"/>
      <c r="G113" s="66"/>
      <c r="H113" s="53"/>
      <c r="I113" s="52"/>
      <c r="J113" s="182"/>
      <c r="K113" s="135"/>
      <c r="L113" s="127">
        <v>7</v>
      </c>
      <c r="M113" s="127">
        <v>20</v>
      </c>
      <c r="N113" s="127">
        <f t="shared" si="59"/>
        <v>20</v>
      </c>
      <c r="O113" s="127"/>
      <c r="P113" s="127"/>
      <c r="Q113" s="127"/>
      <c r="R113" s="128">
        <f t="shared" si="60"/>
        <v>47</v>
      </c>
      <c r="T113" s="285">
        <v>17425</v>
      </c>
      <c r="U113" s="285">
        <v>0</v>
      </c>
      <c r="V113" s="285">
        <f t="shared" si="61"/>
        <v>0</v>
      </c>
      <c r="W113" s="287"/>
      <c r="X113" s="287"/>
      <c r="Y113" s="285"/>
      <c r="Z113" s="286">
        <f t="shared" si="62"/>
        <v>17425</v>
      </c>
      <c r="AB113" s="62" t="s">
        <v>361</v>
      </c>
      <c r="AC113" s="130">
        <v>12</v>
      </c>
      <c r="AD113" s="62" t="s">
        <v>185</v>
      </c>
      <c r="AE113" s="130" t="s">
        <v>185</v>
      </c>
      <c r="AF113" s="62" t="str">
        <f t="shared" si="63"/>
        <v>-</v>
      </c>
      <c r="AG113" s="130" t="str">
        <f t="shared" si="64"/>
        <v>-</v>
      </c>
      <c r="AH113" s="62"/>
      <c r="AI113" s="63"/>
      <c r="AJ113" s="130"/>
      <c r="AK113" s="130"/>
      <c r="AL113" s="62"/>
      <c r="AM113" s="63"/>
      <c r="AO113" s="73">
        <f t="shared" si="65"/>
        <v>1</v>
      </c>
      <c r="AP113" s="73">
        <f t="shared" si="66"/>
        <v>7</v>
      </c>
      <c r="AQ113" s="73">
        <f t="shared" si="67"/>
        <v>20</v>
      </c>
      <c r="AR113" s="73" t="str">
        <f t="shared" si="68"/>
        <v>Kevés v.</v>
      </c>
      <c r="AT113" s="273" t="str">
        <f t="shared" si="69"/>
        <v/>
      </c>
      <c r="AU113" s="273" t="str">
        <f t="shared" si="70"/>
        <v/>
      </c>
      <c r="AV113" s="273" t="str">
        <f t="shared" si="73"/>
        <v/>
      </c>
      <c r="AW113" s="273" t="str">
        <f t="shared" si="72"/>
        <v/>
      </c>
      <c r="AX113" s="274"/>
      <c r="AY113" s="313">
        <f t="shared" si="71"/>
        <v>0</v>
      </c>
    </row>
    <row r="114" spans="1:51" x14ac:dyDescent="0.3">
      <c r="A114" s="68">
        <v>56</v>
      </c>
      <c r="B114" s="339" t="s">
        <v>245</v>
      </c>
      <c r="C114" s="141" t="s">
        <v>246</v>
      </c>
      <c r="D114" s="143" t="s">
        <v>116</v>
      </c>
      <c r="E114" s="142" t="s">
        <v>103</v>
      </c>
      <c r="F114" s="145"/>
      <c r="G114" s="66"/>
      <c r="H114" s="53"/>
      <c r="I114" s="52"/>
      <c r="J114" s="182"/>
      <c r="K114" s="135"/>
      <c r="L114" s="127">
        <v>7</v>
      </c>
      <c r="M114" s="127">
        <v>20</v>
      </c>
      <c r="N114" s="127">
        <f t="shared" si="59"/>
        <v>20</v>
      </c>
      <c r="O114" s="127"/>
      <c r="P114" s="127"/>
      <c r="Q114" s="127"/>
      <c r="R114" s="128">
        <f t="shared" si="60"/>
        <v>47</v>
      </c>
      <c r="T114" s="285">
        <v>2075</v>
      </c>
      <c r="U114" s="285">
        <v>0</v>
      </c>
      <c r="V114" s="285">
        <f t="shared" si="61"/>
        <v>0</v>
      </c>
      <c r="W114" s="287"/>
      <c r="X114" s="287"/>
      <c r="Y114" s="285"/>
      <c r="Z114" s="286">
        <f t="shared" si="62"/>
        <v>2075</v>
      </c>
      <c r="AB114" s="62" t="s">
        <v>355</v>
      </c>
      <c r="AC114" s="130">
        <v>7</v>
      </c>
      <c r="AD114" s="62" t="s">
        <v>185</v>
      </c>
      <c r="AE114" s="130" t="s">
        <v>185</v>
      </c>
      <c r="AF114" s="62" t="str">
        <f t="shared" si="63"/>
        <v>-</v>
      </c>
      <c r="AG114" s="130" t="str">
        <f t="shared" si="64"/>
        <v>-</v>
      </c>
      <c r="AH114" s="62"/>
      <c r="AI114" s="63"/>
      <c r="AJ114" s="130"/>
      <c r="AK114" s="130"/>
      <c r="AL114" s="62"/>
      <c r="AM114" s="63"/>
      <c r="AO114" s="73">
        <f t="shared" si="65"/>
        <v>1</v>
      </c>
      <c r="AP114" s="73">
        <f t="shared" si="66"/>
        <v>7</v>
      </c>
      <c r="AQ114" s="73">
        <f t="shared" si="67"/>
        <v>20</v>
      </c>
      <c r="AR114" s="73" t="str">
        <f t="shared" si="68"/>
        <v>Kevés v.</v>
      </c>
      <c r="AT114" s="273" t="str">
        <f t="shared" si="69"/>
        <v/>
      </c>
      <c r="AU114" s="273" t="str">
        <f t="shared" si="70"/>
        <v/>
      </c>
      <c r="AV114" s="273" t="str">
        <f t="shared" si="73"/>
        <v/>
      </c>
      <c r="AW114" s="273" t="str">
        <f t="shared" si="72"/>
        <v/>
      </c>
      <c r="AX114" s="274"/>
      <c r="AY114" s="313">
        <f t="shared" si="71"/>
        <v>0</v>
      </c>
    </row>
    <row r="115" spans="1:51" x14ac:dyDescent="0.3">
      <c r="A115" s="68">
        <v>57</v>
      </c>
      <c r="B115" s="339" t="s">
        <v>247</v>
      </c>
      <c r="C115" s="141" t="s">
        <v>248</v>
      </c>
      <c r="D115" s="143" t="s">
        <v>116</v>
      </c>
      <c r="E115" s="142" t="s">
        <v>103</v>
      </c>
      <c r="F115" s="145"/>
      <c r="G115" s="66"/>
      <c r="H115" s="53"/>
      <c r="I115" s="52"/>
      <c r="J115" s="182"/>
      <c r="K115" s="135"/>
      <c r="L115" s="127">
        <v>1</v>
      </c>
      <c r="M115" s="127">
        <v>20</v>
      </c>
      <c r="N115" s="127">
        <f t="shared" si="59"/>
        <v>20</v>
      </c>
      <c r="O115" s="127"/>
      <c r="P115" s="127"/>
      <c r="Q115" s="127"/>
      <c r="R115" s="128">
        <f t="shared" si="60"/>
        <v>41</v>
      </c>
      <c r="T115" s="285">
        <v>45840</v>
      </c>
      <c r="U115" s="285">
        <v>0</v>
      </c>
      <c r="V115" s="285">
        <f t="shared" si="61"/>
        <v>0</v>
      </c>
      <c r="W115" s="287"/>
      <c r="X115" s="287"/>
      <c r="Y115" s="285"/>
      <c r="Z115" s="286">
        <f t="shared" si="62"/>
        <v>45840</v>
      </c>
      <c r="AB115" s="62" t="s">
        <v>357</v>
      </c>
      <c r="AC115" s="130">
        <v>9</v>
      </c>
      <c r="AD115" s="62" t="s">
        <v>185</v>
      </c>
      <c r="AE115" s="130" t="s">
        <v>185</v>
      </c>
      <c r="AF115" s="62" t="str">
        <f t="shared" si="63"/>
        <v>-</v>
      </c>
      <c r="AG115" s="130" t="str">
        <f t="shared" si="64"/>
        <v>-</v>
      </c>
      <c r="AH115" s="62"/>
      <c r="AI115" s="63"/>
      <c r="AJ115" s="130"/>
      <c r="AK115" s="130"/>
      <c r="AL115" s="62"/>
      <c r="AM115" s="63"/>
      <c r="AO115" s="73">
        <f t="shared" si="65"/>
        <v>1</v>
      </c>
      <c r="AP115" s="73">
        <f t="shared" si="66"/>
        <v>1</v>
      </c>
      <c r="AQ115" s="73">
        <f t="shared" si="67"/>
        <v>20</v>
      </c>
      <c r="AR115" s="73" t="str">
        <f t="shared" si="68"/>
        <v>Kevés v.</v>
      </c>
      <c r="AT115" s="273" t="str">
        <f t="shared" si="69"/>
        <v/>
      </c>
      <c r="AU115" s="273" t="str">
        <f t="shared" si="70"/>
        <v/>
      </c>
      <c r="AV115" s="273" t="str">
        <f t="shared" si="73"/>
        <v/>
      </c>
      <c r="AW115" s="273" t="str">
        <f t="shared" si="72"/>
        <v/>
      </c>
      <c r="AX115" s="274"/>
      <c r="AY115" s="313">
        <f t="shared" si="71"/>
        <v>0</v>
      </c>
    </row>
    <row r="116" spans="1:51" x14ac:dyDescent="0.3">
      <c r="A116" s="68">
        <v>58</v>
      </c>
      <c r="B116" s="339" t="s">
        <v>249</v>
      </c>
      <c r="C116" s="250" t="s">
        <v>250</v>
      </c>
      <c r="D116" s="143" t="s">
        <v>116</v>
      </c>
      <c r="E116" s="142" t="s">
        <v>103</v>
      </c>
      <c r="F116" s="145"/>
      <c r="G116" s="66"/>
      <c r="H116" s="53"/>
      <c r="I116" s="52"/>
      <c r="J116" s="182"/>
      <c r="K116" s="135"/>
      <c r="L116" s="127">
        <v>1</v>
      </c>
      <c r="M116" s="127">
        <v>6</v>
      </c>
      <c r="N116" s="127">
        <f t="shared" si="59"/>
        <v>20</v>
      </c>
      <c r="O116" s="127"/>
      <c r="P116" s="127"/>
      <c r="Q116" s="127"/>
      <c r="R116" s="128">
        <f t="shared" si="60"/>
        <v>27</v>
      </c>
      <c r="T116" s="285">
        <v>9200</v>
      </c>
      <c r="U116" s="285">
        <v>11600</v>
      </c>
      <c r="V116" s="285">
        <f t="shared" si="61"/>
        <v>0</v>
      </c>
      <c r="W116" s="287"/>
      <c r="X116" s="287"/>
      <c r="Y116" s="285"/>
      <c r="Z116" s="286">
        <f t="shared" si="62"/>
        <v>20800</v>
      </c>
      <c r="AB116" s="62" t="s">
        <v>355</v>
      </c>
      <c r="AC116" s="130">
        <v>9</v>
      </c>
      <c r="AD116" s="62" t="s">
        <v>360</v>
      </c>
      <c r="AE116" s="130">
        <v>4</v>
      </c>
      <c r="AF116" s="62" t="str">
        <f t="shared" si="63"/>
        <v>-</v>
      </c>
      <c r="AG116" s="130" t="str">
        <f t="shared" si="64"/>
        <v>-</v>
      </c>
      <c r="AH116" s="62"/>
      <c r="AI116" s="63"/>
      <c r="AJ116" s="130"/>
      <c r="AK116" s="130"/>
      <c r="AL116" s="62"/>
      <c r="AM116" s="63"/>
      <c r="AO116" s="73">
        <f t="shared" si="65"/>
        <v>2</v>
      </c>
      <c r="AP116" s="73">
        <f t="shared" si="66"/>
        <v>7</v>
      </c>
      <c r="AQ116" s="73">
        <f t="shared" si="67"/>
        <v>20</v>
      </c>
      <c r="AR116" s="73" t="str">
        <f t="shared" si="68"/>
        <v>Kevés v.</v>
      </c>
      <c r="AT116" s="273" t="str">
        <f t="shared" si="69"/>
        <v/>
      </c>
      <c r="AU116" s="273" t="str">
        <f t="shared" si="70"/>
        <v/>
      </c>
      <c r="AV116" s="273" t="str">
        <f t="shared" si="73"/>
        <v/>
      </c>
      <c r="AW116" s="273" t="str">
        <f t="shared" si="72"/>
        <v/>
      </c>
      <c r="AX116" s="274"/>
      <c r="AY116" s="313">
        <f t="shared" si="71"/>
        <v>0</v>
      </c>
    </row>
    <row r="117" spans="1:51" x14ac:dyDescent="0.3">
      <c r="A117" s="68">
        <v>60</v>
      </c>
      <c r="B117" s="340" t="s">
        <v>253</v>
      </c>
      <c r="C117" s="141" t="s">
        <v>169</v>
      </c>
      <c r="D117" s="143" t="s">
        <v>116</v>
      </c>
      <c r="E117" s="142" t="s">
        <v>103</v>
      </c>
      <c r="F117" s="145"/>
      <c r="G117" s="66"/>
      <c r="H117" s="53"/>
      <c r="I117" s="52"/>
      <c r="J117" s="182"/>
      <c r="K117" s="135"/>
      <c r="L117" s="127">
        <v>1</v>
      </c>
      <c r="M117" s="127">
        <v>20</v>
      </c>
      <c r="N117" s="127">
        <f t="shared" si="59"/>
        <v>20</v>
      </c>
      <c r="O117" s="127"/>
      <c r="P117" s="127"/>
      <c r="Q117" s="127"/>
      <c r="R117" s="128">
        <f t="shared" si="60"/>
        <v>41</v>
      </c>
      <c r="T117" s="285">
        <v>30420</v>
      </c>
      <c r="U117" s="285">
        <v>0</v>
      </c>
      <c r="V117" s="285">
        <f t="shared" si="61"/>
        <v>0</v>
      </c>
      <c r="W117" s="287"/>
      <c r="X117" s="287"/>
      <c r="Y117" s="285"/>
      <c r="Z117" s="286">
        <f t="shared" si="62"/>
        <v>30420</v>
      </c>
      <c r="AB117" s="62" t="s">
        <v>352</v>
      </c>
      <c r="AC117" s="130">
        <v>3</v>
      </c>
      <c r="AD117" s="62" t="s">
        <v>185</v>
      </c>
      <c r="AE117" s="130" t="s">
        <v>185</v>
      </c>
      <c r="AF117" s="62" t="str">
        <f t="shared" si="63"/>
        <v>-</v>
      </c>
      <c r="AG117" s="130" t="str">
        <f t="shared" si="64"/>
        <v>-</v>
      </c>
      <c r="AH117" s="62"/>
      <c r="AI117" s="63"/>
      <c r="AJ117" s="130"/>
      <c r="AK117" s="130"/>
      <c r="AL117" s="62"/>
      <c r="AM117" s="63"/>
      <c r="AO117" s="73">
        <f t="shared" si="65"/>
        <v>1</v>
      </c>
      <c r="AP117" s="73">
        <f t="shared" si="66"/>
        <v>1</v>
      </c>
      <c r="AQ117" s="73">
        <f t="shared" si="67"/>
        <v>20</v>
      </c>
      <c r="AR117" s="73" t="str">
        <f t="shared" si="68"/>
        <v>Kevés v.</v>
      </c>
      <c r="AT117" s="273" t="str">
        <f t="shared" si="69"/>
        <v/>
      </c>
      <c r="AU117" s="273" t="str">
        <f t="shared" si="70"/>
        <v/>
      </c>
      <c r="AV117" s="273" t="str">
        <f t="shared" si="73"/>
        <v/>
      </c>
      <c r="AW117" s="273" t="str">
        <f t="shared" si="72"/>
        <v/>
      </c>
      <c r="AX117" s="274"/>
      <c r="AY117" s="313">
        <f t="shared" si="71"/>
        <v>0</v>
      </c>
    </row>
    <row r="118" spans="1:51" x14ac:dyDescent="0.3">
      <c r="A118" s="68">
        <v>61</v>
      </c>
      <c r="B118" s="340" t="s">
        <v>254</v>
      </c>
      <c r="C118" s="141" t="s">
        <v>250</v>
      </c>
      <c r="D118" s="143" t="s">
        <v>116</v>
      </c>
      <c r="E118" s="142" t="s">
        <v>103</v>
      </c>
      <c r="F118" s="145"/>
      <c r="G118" s="66"/>
      <c r="H118" s="53"/>
      <c r="I118" s="52"/>
      <c r="J118" s="182"/>
      <c r="K118" s="135"/>
      <c r="L118" s="127">
        <v>5</v>
      </c>
      <c r="M118" s="127">
        <v>2</v>
      </c>
      <c r="N118" s="127">
        <f t="shared" si="59"/>
        <v>20</v>
      </c>
      <c r="O118" s="127"/>
      <c r="P118" s="127"/>
      <c r="Q118" s="127"/>
      <c r="R118" s="128">
        <f t="shared" si="60"/>
        <v>27</v>
      </c>
      <c r="T118" s="285">
        <v>10025</v>
      </c>
      <c r="U118" s="285">
        <v>24525</v>
      </c>
      <c r="V118" s="285">
        <f t="shared" si="61"/>
        <v>0</v>
      </c>
      <c r="W118" s="287"/>
      <c r="X118" s="287"/>
      <c r="Y118" s="285"/>
      <c r="Z118" s="286">
        <f t="shared" si="62"/>
        <v>34550</v>
      </c>
      <c r="AB118" s="62" t="s">
        <v>352</v>
      </c>
      <c r="AC118" s="130">
        <v>8</v>
      </c>
      <c r="AD118" s="62" t="s">
        <v>363</v>
      </c>
      <c r="AE118" s="130">
        <v>6</v>
      </c>
      <c r="AF118" s="62" t="str">
        <f t="shared" si="63"/>
        <v>-</v>
      </c>
      <c r="AG118" s="130" t="str">
        <f t="shared" si="64"/>
        <v>-</v>
      </c>
      <c r="AH118" s="62"/>
      <c r="AI118" s="63"/>
      <c r="AJ118" s="130"/>
      <c r="AK118" s="130"/>
      <c r="AL118" s="62"/>
      <c r="AM118" s="63"/>
      <c r="AO118" s="73">
        <f t="shared" si="65"/>
        <v>2</v>
      </c>
      <c r="AP118" s="73">
        <f t="shared" si="66"/>
        <v>7</v>
      </c>
      <c r="AQ118" s="73">
        <f t="shared" si="67"/>
        <v>20</v>
      </c>
      <c r="AR118" s="73" t="str">
        <f t="shared" si="68"/>
        <v>Kevés v.</v>
      </c>
      <c r="AT118" s="273" t="str">
        <f t="shared" si="69"/>
        <v/>
      </c>
      <c r="AU118" s="273" t="str">
        <f t="shared" si="70"/>
        <v/>
      </c>
      <c r="AV118" s="273" t="str">
        <f t="shared" si="73"/>
        <v/>
      </c>
      <c r="AW118" s="273" t="str">
        <f t="shared" si="72"/>
        <v/>
      </c>
      <c r="AX118" s="274"/>
      <c r="AY118" s="313">
        <f t="shared" si="71"/>
        <v>0</v>
      </c>
    </row>
    <row r="119" spans="1:51" x14ac:dyDescent="0.3">
      <c r="A119" s="68">
        <v>63</v>
      </c>
      <c r="B119" s="339" t="s">
        <v>257</v>
      </c>
      <c r="C119" s="250" t="s">
        <v>104</v>
      </c>
      <c r="D119" s="143" t="s">
        <v>116</v>
      </c>
      <c r="E119" s="142" t="s">
        <v>103</v>
      </c>
      <c r="F119" s="145"/>
      <c r="G119" s="66"/>
      <c r="H119" s="53"/>
      <c r="I119" s="52"/>
      <c r="J119" s="182"/>
      <c r="K119" s="135"/>
      <c r="L119" s="127">
        <v>3</v>
      </c>
      <c r="M119" s="127">
        <v>20</v>
      </c>
      <c r="N119" s="127">
        <f t="shared" si="59"/>
        <v>20</v>
      </c>
      <c r="O119" s="127"/>
      <c r="P119" s="127"/>
      <c r="Q119" s="127"/>
      <c r="R119" s="128">
        <f t="shared" si="60"/>
        <v>43</v>
      </c>
      <c r="T119" s="285">
        <v>15150</v>
      </c>
      <c r="U119" s="285">
        <v>0</v>
      </c>
      <c r="V119" s="285">
        <f t="shared" si="61"/>
        <v>0</v>
      </c>
      <c r="W119" s="287"/>
      <c r="X119" s="287"/>
      <c r="Y119" s="285"/>
      <c r="Z119" s="286">
        <f t="shared" si="62"/>
        <v>15150</v>
      </c>
      <c r="AB119" s="62" t="s">
        <v>352</v>
      </c>
      <c r="AC119" s="130">
        <v>6</v>
      </c>
      <c r="AD119" s="62" t="s">
        <v>185</v>
      </c>
      <c r="AE119" s="130" t="s">
        <v>185</v>
      </c>
      <c r="AF119" s="62" t="str">
        <f t="shared" si="63"/>
        <v>-</v>
      </c>
      <c r="AG119" s="130" t="str">
        <f t="shared" si="64"/>
        <v>-</v>
      </c>
      <c r="AH119" s="62"/>
      <c r="AI119" s="63"/>
      <c r="AJ119" s="130"/>
      <c r="AK119" s="130"/>
      <c r="AL119" s="62"/>
      <c r="AM119" s="63"/>
      <c r="AO119" s="73">
        <f t="shared" si="65"/>
        <v>1</v>
      </c>
      <c r="AP119" s="73">
        <f t="shared" si="66"/>
        <v>3</v>
      </c>
      <c r="AQ119" s="73">
        <f t="shared" si="67"/>
        <v>20</v>
      </c>
      <c r="AR119" s="73" t="str">
        <f t="shared" si="68"/>
        <v>Kevés v.</v>
      </c>
      <c r="AT119" s="273" t="str">
        <f t="shared" si="69"/>
        <v/>
      </c>
      <c r="AU119" s="273" t="str">
        <f t="shared" si="70"/>
        <v/>
      </c>
      <c r="AV119" s="273" t="str">
        <f t="shared" si="73"/>
        <v/>
      </c>
      <c r="AW119" s="273" t="str">
        <f t="shared" si="72"/>
        <v/>
      </c>
      <c r="AX119" s="274"/>
      <c r="AY119" s="313">
        <f t="shared" si="71"/>
        <v>0</v>
      </c>
    </row>
    <row r="120" spans="1:51" x14ac:dyDescent="0.3">
      <c r="A120" s="68">
        <v>65</v>
      </c>
      <c r="B120" s="339" t="s">
        <v>259</v>
      </c>
      <c r="C120" s="141" t="s">
        <v>260</v>
      </c>
      <c r="D120" s="143" t="s">
        <v>116</v>
      </c>
      <c r="E120" s="142" t="s">
        <v>103</v>
      </c>
      <c r="F120" s="145"/>
      <c r="G120" s="66"/>
      <c r="H120" s="53"/>
      <c r="I120" s="52"/>
      <c r="J120" s="182"/>
      <c r="K120" s="135"/>
      <c r="L120" s="127">
        <v>8</v>
      </c>
      <c r="M120" s="127">
        <v>20</v>
      </c>
      <c r="N120" s="127">
        <f t="shared" si="59"/>
        <v>20</v>
      </c>
      <c r="O120" s="127"/>
      <c r="P120" s="127"/>
      <c r="Q120" s="127"/>
      <c r="R120" s="128">
        <f t="shared" si="60"/>
        <v>48</v>
      </c>
      <c r="T120" s="285">
        <v>2325</v>
      </c>
      <c r="U120" s="285">
        <v>0</v>
      </c>
      <c r="V120" s="285">
        <f t="shared" si="61"/>
        <v>0</v>
      </c>
      <c r="W120" s="287"/>
      <c r="X120" s="287"/>
      <c r="Y120" s="285"/>
      <c r="Z120" s="286">
        <f t="shared" si="62"/>
        <v>2325</v>
      </c>
      <c r="AB120" s="62" t="s">
        <v>352</v>
      </c>
      <c r="AC120" s="130">
        <v>10</v>
      </c>
      <c r="AD120" s="62" t="s">
        <v>185</v>
      </c>
      <c r="AE120" s="130" t="s">
        <v>185</v>
      </c>
      <c r="AF120" s="62" t="str">
        <f t="shared" si="63"/>
        <v>-</v>
      </c>
      <c r="AG120" s="130" t="str">
        <f t="shared" si="64"/>
        <v>-</v>
      </c>
      <c r="AH120" s="62"/>
      <c r="AI120" s="63"/>
      <c r="AJ120" s="130"/>
      <c r="AK120" s="130"/>
      <c r="AL120" s="62"/>
      <c r="AM120" s="63"/>
      <c r="AO120" s="73">
        <f t="shared" si="65"/>
        <v>1</v>
      </c>
      <c r="AP120" s="73">
        <f t="shared" si="66"/>
        <v>8</v>
      </c>
      <c r="AQ120" s="73">
        <f t="shared" si="67"/>
        <v>20</v>
      </c>
      <c r="AR120" s="73" t="str">
        <f t="shared" si="68"/>
        <v>Kevés v.</v>
      </c>
      <c r="AT120" s="273" t="str">
        <f t="shared" si="69"/>
        <v/>
      </c>
      <c r="AU120" s="273" t="str">
        <f t="shared" si="70"/>
        <v/>
      </c>
      <c r="AV120" s="273" t="str">
        <f t="shared" si="73"/>
        <v/>
      </c>
      <c r="AW120" s="273" t="str">
        <f t="shared" si="72"/>
        <v/>
      </c>
      <c r="AX120" s="274"/>
      <c r="AY120" s="313">
        <f t="shared" si="71"/>
        <v>0</v>
      </c>
    </row>
    <row r="121" spans="1:51" x14ac:dyDescent="0.3">
      <c r="A121" s="68">
        <v>66</v>
      </c>
      <c r="B121" s="339" t="s">
        <v>261</v>
      </c>
      <c r="C121" s="141" t="s">
        <v>262</v>
      </c>
      <c r="D121" s="70" t="s">
        <v>116</v>
      </c>
      <c r="E121" s="142" t="s">
        <v>103</v>
      </c>
      <c r="F121" s="145"/>
      <c r="G121" s="66"/>
      <c r="H121" s="53"/>
      <c r="I121" s="52"/>
      <c r="J121" s="182"/>
      <c r="K121" s="135"/>
      <c r="L121" s="127">
        <v>2</v>
      </c>
      <c r="M121" s="127">
        <v>11</v>
      </c>
      <c r="N121" s="127">
        <f t="shared" si="59"/>
        <v>20</v>
      </c>
      <c r="O121" s="127"/>
      <c r="P121" s="127"/>
      <c r="Q121" s="127"/>
      <c r="R121" s="128">
        <f t="shared" si="60"/>
        <v>33</v>
      </c>
      <c r="T121" s="285">
        <v>20870</v>
      </c>
      <c r="U121" s="285">
        <v>1675</v>
      </c>
      <c r="V121" s="285">
        <f t="shared" si="61"/>
        <v>0</v>
      </c>
      <c r="W121" s="287"/>
      <c r="X121" s="287"/>
      <c r="Y121" s="285"/>
      <c r="Z121" s="286">
        <f t="shared" si="62"/>
        <v>22545</v>
      </c>
      <c r="AB121" s="62" t="s">
        <v>357</v>
      </c>
      <c r="AC121" s="130">
        <v>3</v>
      </c>
      <c r="AD121" s="62" t="s">
        <v>355</v>
      </c>
      <c r="AE121" s="130">
        <v>10</v>
      </c>
      <c r="AF121" s="62" t="str">
        <f t="shared" si="63"/>
        <v>-</v>
      </c>
      <c r="AG121" s="130" t="str">
        <f t="shared" si="64"/>
        <v>-</v>
      </c>
      <c r="AH121" s="62"/>
      <c r="AI121" s="63"/>
      <c r="AJ121" s="130"/>
      <c r="AK121" s="130"/>
      <c r="AL121" s="62"/>
      <c r="AM121" s="63"/>
      <c r="AO121" s="73">
        <f t="shared" si="65"/>
        <v>2</v>
      </c>
      <c r="AP121" s="73">
        <f t="shared" si="66"/>
        <v>13</v>
      </c>
      <c r="AQ121" s="73">
        <f t="shared" si="67"/>
        <v>20</v>
      </c>
      <c r="AR121" s="73" t="str">
        <f t="shared" si="68"/>
        <v>Kevés v.</v>
      </c>
      <c r="AT121" s="273" t="str">
        <f t="shared" si="69"/>
        <v/>
      </c>
      <c r="AU121" s="273" t="str">
        <f t="shared" si="70"/>
        <v/>
      </c>
      <c r="AV121" s="273" t="str">
        <f t="shared" si="73"/>
        <v/>
      </c>
      <c r="AW121" s="273" t="str">
        <f t="shared" si="72"/>
        <v/>
      </c>
      <c r="AX121" s="274"/>
      <c r="AY121" s="313">
        <f t="shared" si="71"/>
        <v>0</v>
      </c>
    </row>
    <row r="122" spans="1:51" x14ac:dyDescent="0.3">
      <c r="A122" s="68">
        <v>67</v>
      </c>
      <c r="B122" s="340" t="s">
        <v>263</v>
      </c>
      <c r="C122" s="141" t="s">
        <v>264</v>
      </c>
      <c r="D122" s="70" t="s">
        <v>116</v>
      </c>
      <c r="E122" s="142" t="s">
        <v>103</v>
      </c>
      <c r="F122" s="145"/>
      <c r="G122" s="66"/>
      <c r="H122" s="53"/>
      <c r="I122" s="52"/>
      <c r="J122" s="182"/>
      <c r="K122" s="135"/>
      <c r="L122" s="127">
        <v>4</v>
      </c>
      <c r="M122" s="127">
        <v>2</v>
      </c>
      <c r="N122" s="127">
        <f t="shared" si="59"/>
        <v>20</v>
      </c>
      <c r="O122" s="127"/>
      <c r="P122" s="127"/>
      <c r="Q122" s="127"/>
      <c r="R122" s="128">
        <f t="shared" si="60"/>
        <v>26</v>
      </c>
      <c r="T122" s="285">
        <v>13200</v>
      </c>
      <c r="U122" s="285">
        <v>26200</v>
      </c>
      <c r="V122" s="285">
        <f t="shared" si="61"/>
        <v>0</v>
      </c>
      <c r="W122" s="287"/>
      <c r="X122" s="287"/>
      <c r="Y122" s="285"/>
      <c r="Z122" s="286">
        <f t="shared" si="62"/>
        <v>39400</v>
      </c>
      <c r="AB122" s="62" t="s">
        <v>353</v>
      </c>
      <c r="AC122" s="130">
        <v>10</v>
      </c>
      <c r="AD122" s="62" t="s">
        <v>355</v>
      </c>
      <c r="AE122" s="130">
        <v>5</v>
      </c>
      <c r="AF122" s="62" t="str">
        <f t="shared" si="63"/>
        <v>-</v>
      </c>
      <c r="AG122" s="130" t="str">
        <f t="shared" si="64"/>
        <v>-</v>
      </c>
      <c r="AH122" s="62"/>
      <c r="AI122" s="63"/>
      <c r="AJ122" s="130"/>
      <c r="AK122" s="130"/>
      <c r="AL122" s="62"/>
      <c r="AM122" s="63"/>
      <c r="AO122" s="73">
        <f t="shared" si="65"/>
        <v>2</v>
      </c>
      <c r="AP122" s="73">
        <f t="shared" si="66"/>
        <v>6</v>
      </c>
      <c r="AQ122" s="73">
        <f t="shared" si="67"/>
        <v>20</v>
      </c>
      <c r="AR122" s="73" t="str">
        <f t="shared" si="68"/>
        <v>Kevés v.</v>
      </c>
      <c r="AT122" s="273" t="str">
        <f t="shared" si="69"/>
        <v/>
      </c>
      <c r="AU122" s="273" t="str">
        <f t="shared" si="70"/>
        <v/>
      </c>
      <c r="AV122" s="273" t="str">
        <f t="shared" si="73"/>
        <v/>
      </c>
      <c r="AW122" s="273" t="str">
        <f t="shared" si="72"/>
        <v/>
      </c>
      <c r="AX122" s="274"/>
      <c r="AY122" s="313">
        <f t="shared" si="71"/>
        <v>0</v>
      </c>
    </row>
    <row r="123" spans="1:51" x14ac:dyDescent="0.3">
      <c r="A123" s="68">
        <v>68</v>
      </c>
      <c r="B123" s="339" t="s">
        <v>265</v>
      </c>
      <c r="C123" s="141" t="s">
        <v>266</v>
      </c>
      <c r="D123" s="143" t="s">
        <v>116</v>
      </c>
      <c r="E123" s="142" t="s">
        <v>103</v>
      </c>
      <c r="F123" s="145"/>
      <c r="G123" s="66"/>
      <c r="H123" s="53"/>
      <c r="I123" s="52"/>
      <c r="J123" s="182"/>
      <c r="K123" s="135"/>
      <c r="L123" s="127">
        <v>10</v>
      </c>
      <c r="M123" s="127">
        <v>20</v>
      </c>
      <c r="N123" s="127">
        <f t="shared" si="59"/>
        <v>20</v>
      </c>
      <c r="O123" s="127"/>
      <c r="P123" s="127"/>
      <c r="Q123" s="127"/>
      <c r="R123" s="128">
        <f t="shared" si="60"/>
        <v>50</v>
      </c>
      <c r="T123" s="285">
        <v>0</v>
      </c>
      <c r="U123" s="285">
        <v>0</v>
      </c>
      <c r="V123" s="285">
        <f t="shared" si="61"/>
        <v>0</v>
      </c>
      <c r="W123" s="287"/>
      <c r="X123" s="287"/>
      <c r="Y123" s="285"/>
      <c r="Z123" s="286">
        <f t="shared" si="62"/>
        <v>0</v>
      </c>
      <c r="AB123" s="62" t="s">
        <v>357</v>
      </c>
      <c r="AC123" s="130">
        <v>10</v>
      </c>
      <c r="AD123" s="62" t="s">
        <v>185</v>
      </c>
      <c r="AE123" s="130" t="s">
        <v>185</v>
      </c>
      <c r="AF123" s="62" t="str">
        <f t="shared" si="63"/>
        <v>-</v>
      </c>
      <c r="AG123" s="130" t="str">
        <f t="shared" si="64"/>
        <v>-</v>
      </c>
      <c r="AH123" s="62"/>
      <c r="AI123" s="63"/>
      <c r="AJ123" s="130"/>
      <c r="AK123" s="130"/>
      <c r="AL123" s="62"/>
      <c r="AM123" s="63"/>
      <c r="AO123" s="73">
        <f t="shared" si="65"/>
        <v>1</v>
      </c>
      <c r="AP123" s="73">
        <f t="shared" si="66"/>
        <v>10</v>
      </c>
      <c r="AQ123" s="73">
        <f t="shared" si="67"/>
        <v>20</v>
      </c>
      <c r="AR123" s="73" t="str">
        <f t="shared" si="68"/>
        <v>Kevés v.</v>
      </c>
      <c r="AT123" s="273" t="str">
        <f t="shared" si="69"/>
        <v/>
      </c>
      <c r="AU123" s="273" t="str">
        <f t="shared" si="70"/>
        <v/>
      </c>
      <c r="AV123" s="273" t="str">
        <f t="shared" si="73"/>
        <v/>
      </c>
      <c r="AW123" s="273" t="str">
        <f t="shared" si="72"/>
        <v/>
      </c>
      <c r="AX123" s="274"/>
      <c r="AY123" s="313">
        <f t="shared" si="71"/>
        <v>0</v>
      </c>
    </row>
    <row r="124" spans="1:51" x14ac:dyDescent="0.3">
      <c r="A124" s="68">
        <v>69</v>
      </c>
      <c r="B124" s="340" t="s">
        <v>267</v>
      </c>
      <c r="C124" s="141" t="s">
        <v>268</v>
      </c>
      <c r="D124" s="143" t="s">
        <v>116</v>
      </c>
      <c r="E124" s="142" t="s">
        <v>103</v>
      </c>
      <c r="F124" s="145"/>
      <c r="G124" s="66"/>
      <c r="H124" s="53"/>
      <c r="I124" s="52"/>
      <c r="J124" s="182"/>
      <c r="K124" s="135"/>
      <c r="L124" s="127">
        <v>20</v>
      </c>
      <c r="M124" s="127">
        <v>20</v>
      </c>
      <c r="N124" s="127">
        <f t="shared" si="59"/>
        <v>20</v>
      </c>
      <c r="O124" s="127"/>
      <c r="P124" s="127"/>
      <c r="Q124" s="127"/>
      <c r="R124" s="128">
        <f t="shared" si="60"/>
        <v>60</v>
      </c>
      <c r="T124" s="285">
        <v>0</v>
      </c>
      <c r="U124" s="285">
        <v>0</v>
      </c>
      <c r="V124" s="285">
        <f t="shared" si="61"/>
        <v>0</v>
      </c>
      <c r="W124" s="287"/>
      <c r="X124" s="287"/>
      <c r="Y124" s="285"/>
      <c r="Z124" s="286">
        <f t="shared" si="62"/>
        <v>0</v>
      </c>
      <c r="AB124" s="62" t="s">
        <v>185</v>
      </c>
      <c r="AC124" s="130" t="s">
        <v>185</v>
      </c>
      <c r="AD124" s="62" t="s">
        <v>185</v>
      </c>
      <c r="AE124" s="130" t="s">
        <v>185</v>
      </c>
      <c r="AF124" s="62" t="str">
        <f t="shared" si="63"/>
        <v>-</v>
      </c>
      <c r="AG124" s="130" t="str">
        <f t="shared" si="64"/>
        <v>-</v>
      </c>
      <c r="AH124" s="62"/>
      <c r="AI124" s="63"/>
      <c r="AJ124" s="130"/>
      <c r="AK124" s="130"/>
      <c r="AL124" s="62"/>
      <c r="AM124" s="63"/>
      <c r="AO124" s="73">
        <f t="shared" si="65"/>
        <v>0</v>
      </c>
      <c r="AP124" s="73">
        <f t="shared" si="66"/>
        <v>0</v>
      </c>
      <c r="AQ124" s="73">
        <f t="shared" si="67"/>
        <v>20</v>
      </c>
      <c r="AR124" s="73" t="str">
        <f t="shared" si="68"/>
        <v>Kevés v.</v>
      </c>
      <c r="AT124" s="273" t="str">
        <f t="shared" si="69"/>
        <v/>
      </c>
      <c r="AU124" s="273" t="str">
        <f t="shared" si="70"/>
        <v/>
      </c>
      <c r="AV124" s="273" t="str">
        <f t="shared" si="73"/>
        <v/>
      </c>
      <c r="AW124" s="273" t="str">
        <f t="shared" si="72"/>
        <v/>
      </c>
      <c r="AX124" s="274"/>
      <c r="AY124" s="313">
        <f t="shared" si="71"/>
        <v>0</v>
      </c>
    </row>
    <row r="125" spans="1:51" x14ac:dyDescent="0.3">
      <c r="A125" s="68">
        <v>70</v>
      </c>
      <c r="B125" s="339" t="s">
        <v>269</v>
      </c>
      <c r="C125" s="141" t="s">
        <v>270</v>
      </c>
      <c r="D125" s="143" t="s">
        <v>113</v>
      </c>
      <c r="E125" s="142" t="s">
        <v>103</v>
      </c>
      <c r="F125" s="145"/>
      <c r="G125" s="66"/>
      <c r="H125" s="53"/>
      <c r="I125" s="52"/>
      <c r="J125" s="182"/>
      <c r="K125" s="135"/>
      <c r="L125" s="127">
        <v>9</v>
      </c>
      <c r="M125" s="127">
        <v>6</v>
      </c>
      <c r="N125" s="127">
        <f t="shared" si="59"/>
        <v>20</v>
      </c>
      <c r="O125" s="127"/>
      <c r="P125" s="127"/>
      <c r="Q125" s="127"/>
      <c r="R125" s="128">
        <f t="shared" si="60"/>
        <v>35</v>
      </c>
      <c r="T125" s="285">
        <v>4100</v>
      </c>
      <c r="U125" s="285">
        <v>7975</v>
      </c>
      <c r="V125" s="285">
        <f t="shared" si="61"/>
        <v>0</v>
      </c>
      <c r="W125" s="287"/>
      <c r="X125" s="287"/>
      <c r="Y125" s="285"/>
      <c r="Z125" s="286">
        <f t="shared" si="62"/>
        <v>12075</v>
      </c>
      <c r="AB125" s="62" t="s">
        <v>356</v>
      </c>
      <c r="AC125" s="130">
        <v>9</v>
      </c>
      <c r="AD125" s="62" t="s">
        <v>356</v>
      </c>
      <c r="AE125" s="130">
        <v>3</v>
      </c>
      <c r="AF125" s="62" t="str">
        <f t="shared" si="63"/>
        <v>-</v>
      </c>
      <c r="AG125" s="130" t="str">
        <f t="shared" si="64"/>
        <v>-</v>
      </c>
      <c r="AH125" s="62"/>
      <c r="AI125" s="63"/>
      <c r="AJ125" s="130"/>
      <c r="AK125" s="130"/>
      <c r="AL125" s="62"/>
      <c r="AM125" s="63"/>
      <c r="AO125" s="73">
        <f t="shared" si="65"/>
        <v>2</v>
      </c>
      <c r="AP125" s="73">
        <f t="shared" si="66"/>
        <v>15</v>
      </c>
      <c r="AQ125" s="73">
        <f t="shared" si="67"/>
        <v>20</v>
      </c>
      <c r="AR125" s="73" t="str">
        <f t="shared" si="68"/>
        <v>Kevés v.</v>
      </c>
      <c r="AT125" s="273" t="str">
        <f t="shared" si="69"/>
        <v/>
      </c>
      <c r="AU125" s="273" t="str">
        <f t="shared" si="70"/>
        <v/>
      </c>
      <c r="AV125" s="273" t="str">
        <f t="shared" si="73"/>
        <v/>
      </c>
      <c r="AW125" s="273" t="str">
        <f t="shared" si="72"/>
        <v/>
      </c>
      <c r="AX125" s="274"/>
      <c r="AY125" s="313">
        <f t="shared" si="71"/>
        <v>0</v>
      </c>
    </row>
    <row r="126" spans="1:51" x14ac:dyDescent="0.3">
      <c r="A126" s="68">
        <v>74</v>
      </c>
      <c r="B126" s="339" t="s">
        <v>276</v>
      </c>
      <c r="C126" s="250" t="s">
        <v>277</v>
      </c>
      <c r="D126" s="143" t="s">
        <v>113</v>
      </c>
      <c r="E126" s="142" t="s">
        <v>103</v>
      </c>
      <c r="F126" s="145"/>
      <c r="G126" s="66"/>
      <c r="H126" s="53"/>
      <c r="I126" s="52"/>
      <c r="J126" s="182"/>
      <c r="K126" s="135">
        <v>1</v>
      </c>
      <c r="L126" s="127">
        <v>5</v>
      </c>
      <c r="M126" s="127">
        <v>20</v>
      </c>
      <c r="N126" s="127">
        <f t="shared" si="59"/>
        <v>20</v>
      </c>
      <c r="O126" s="127"/>
      <c r="P126" s="127"/>
      <c r="Q126" s="127"/>
      <c r="R126" s="128">
        <f t="shared" si="60"/>
        <v>45</v>
      </c>
      <c r="T126" s="285">
        <v>8600</v>
      </c>
      <c r="U126" s="285">
        <v>0</v>
      </c>
      <c r="V126" s="285">
        <f t="shared" si="61"/>
        <v>0</v>
      </c>
      <c r="W126" s="287"/>
      <c r="X126" s="287"/>
      <c r="Y126" s="285"/>
      <c r="Z126" s="286">
        <f t="shared" si="62"/>
        <v>8600</v>
      </c>
      <c r="AB126" s="62" t="s">
        <v>356</v>
      </c>
      <c r="AC126" s="130">
        <v>10</v>
      </c>
      <c r="AD126" s="62" t="s">
        <v>185</v>
      </c>
      <c r="AE126" s="130" t="s">
        <v>185</v>
      </c>
      <c r="AF126" s="62" t="str">
        <f t="shared" si="63"/>
        <v>-</v>
      </c>
      <c r="AG126" s="130" t="str">
        <f t="shared" si="64"/>
        <v>-</v>
      </c>
      <c r="AH126" s="62"/>
      <c r="AI126" s="63"/>
      <c r="AJ126" s="130"/>
      <c r="AK126" s="130"/>
      <c r="AL126" s="62"/>
      <c r="AM126" s="63"/>
      <c r="AO126" s="73">
        <f t="shared" si="65"/>
        <v>1</v>
      </c>
      <c r="AP126" s="73">
        <f t="shared" si="66"/>
        <v>5</v>
      </c>
      <c r="AQ126" s="73">
        <f t="shared" si="67"/>
        <v>20</v>
      </c>
      <c r="AR126" s="73" t="str">
        <f t="shared" si="68"/>
        <v>Kevés v.</v>
      </c>
      <c r="AT126" s="273" t="str">
        <f t="shared" si="69"/>
        <v/>
      </c>
      <c r="AU126" s="273" t="str">
        <f t="shared" si="70"/>
        <v/>
      </c>
      <c r="AV126" s="273" t="str">
        <f t="shared" si="73"/>
        <v/>
      </c>
      <c r="AW126" s="273" t="str">
        <f t="shared" si="72"/>
        <v/>
      </c>
      <c r="AX126" s="274"/>
      <c r="AY126" s="313">
        <f t="shared" si="71"/>
        <v>0</v>
      </c>
    </row>
    <row r="127" spans="1:51" x14ac:dyDescent="0.3">
      <c r="A127" s="68">
        <v>75</v>
      </c>
      <c r="B127" s="339" t="s">
        <v>278</v>
      </c>
      <c r="C127" s="250" t="s">
        <v>279</v>
      </c>
      <c r="D127" s="143" t="s">
        <v>113</v>
      </c>
      <c r="E127" s="142" t="s">
        <v>103</v>
      </c>
      <c r="F127" s="145"/>
      <c r="G127" s="66"/>
      <c r="H127" s="53"/>
      <c r="I127" s="52"/>
      <c r="J127" s="182"/>
      <c r="K127" s="135"/>
      <c r="L127" s="127">
        <v>10</v>
      </c>
      <c r="M127" s="127">
        <v>20</v>
      </c>
      <c r="N127" s="127">
        <f t="shared" si="59"/>
        <v>20</v>
      </c>
      <c r="O127" s="127"/>
      <c r="P127" s="127"/>
      <c r="Q127" s="127"/>
      <c r="R127" s="128">
        <f t="shared" si="60"/>
        <v>50</v>
      </c>
      <c r="T127" s="285">
        <v>1125</v>
      </c>
      <c r="U127" s="285">
        <v>0</v>
      </c>
      <c r="V127" s="285">
        <f t="shared" si="61"/>
        <v>0</v>
      </c>
      <c r="W127" s="287"/>
      <c r="X127" s="287"/>
      <c r="Y127" s="285"/>
      <c r="Z127" s="286">
        <f t="shared" si="62"/>
        <v>1125</v>
      </c>
      <c r="AB127" s="62" t="s">
        <v>356</v>
      </c>
      <c r="AC127" s="130">
        <v>2</v>
      </c>
      <c r="AD127" s="62" t="s">
        <v>185</v>
      </c>
      <c r="AE127" s="130" t="s">
        <v>185</v>
      </c>
      <c r="AF127" s="62" t="str">
        <f t="shared" si="63"/>
        <v>-</v>
      </c>
      <c r="AG127" s="130" t="str">
        <f t="shared" si="64"/>
        <v>-</v>
      </c>
      <c r="AH127" s="62"/>
      <c r="AI127" s="63"/>
      <c r="AJ127" s="130"/>
      <c r="AK127" s="130"/>
      <c r="AL127" s="62"/>
      <c r="AM127" s="63"/>
      <c r="AO127" s="73">
        <f t="shared" si="65"/>
        <v>1</v>
      </c>
      <c r="AP127" s="73">
        <f t="shared" si="66"/>
        <v>10</v>
      </c>
      <c r="AQ127" s="73">
        <f t="shared" si="67"/>
        <v>20</v>
      </c>
      <c r="AR127" s="73" t="str">
        <f t="shared" si="68"/>
        <v>Kevés v.</v>
      </c>
      <c r="AT127" s="273" t="str">
        <f t="shared" si="69"/>
        <v/>
      </c>
      <c r="AU127" s="273" t="str">
        <f t="shared" si="70"/>
        <v/>
      </c>
      <c r="AV127" s="273" t="str">
        <f t="shared" si="73"/>
        <v/>
      </c>
      <c r="AW127" s="273" t="str">
        <f t="shared" si="72"/>
        <v/>
      </c>
      <c r="AX127" s="274"/>
      <c r="AY127" s="313">
        <f t="shared" si="71"/>
        <v>0</v>
      </c>
    </row>
    <row r="128" spans="1:51" x14ac:dyDescent="0.3">
      <c r="A128" s="68">
        <v>81</v>
      </c>
      <c r="B128" s="339" t="s">
        <v>286</v>
      </c>
      <c r="C128" s="141" t="s">
        <v>216</v>
      </c>
      <c r="D128" s="143" t="s">
        <v>9</v>
      </c>
      <c r="E128" s="142" t="s">
        <v>11</v>
      </c>
      <c r="F128" s="145"/>
      <c r="G128" s="66"/>
      <c r="H128" s="53"/>
      <c r="I128" s="52"/>
      <c r="J128" s="182"/>
      <c r="K128" s="135"/>
      <c r="L128" s="127">
        <v>4</v>
      </c>
      <c r="M128" s="127">
        <v>6</v>
      </c>
      <c r="N128" s="127">
        <f t="shared" ref="N128:N159" si="74">IF($G128="",20,$J128)</f>
        <v>20</v>
      </c>
      <c r="O128" s="127"/>
      <c r="P128" s="127"/>
      <c r="Q128" s="127"/>
      <c r="R128" s="128">
        <f t="shared" ref="R128:R159" si="75">SUM(L128:Q128)</f>
        <v>30</v>
      </c>
      <c r="T128" s="285">
        <v>17250</v>
      </c>
      <c r="U128" s="285">
        <v>21375</v>
      </c>
      <c r="V128" s="285">
        <f t="shared" ref="V128:V159" si="76">IF($G128="",0,$I128)</f>
        <v>0</v>
      </c>
      <c r="W128" s="287"/>
      <c r="X128" s="287"/>
      <c r="Y128" s="285"/>
      <c r="Z128" s="286">
        <f t="shared" ref="Z128:Z159" si="77">SUM(T128:Y128)</f>
        <v>38625</v>
      </c>
      <c r="AB128" s="62" t="s">
        <v>358</v>
      </c>
      <c r="AC128" s="130">
        <v>2</v>
      </c>
      <c r="AD128" s="62" t="s">
        <v>353</v>
      </c>
      <c r="AE128" s="130">
        <v>2</v>
      </c>
      <c r="AF128" s="62" t="str">
        <f t="shared" ref="AF128:AF159" si="78">IF($G128="","-",$G128)</f>
        <v>-</v>
      </c>
      <c r="AG128" s="130" t="str">
        <f t="shared" ref="AG128:AG159" si="79">IF($G128="","-",$H128)</f>
        <v>-</v>
      </c>
      <c r="AH128" s="62"/>
      <c r="AI128" s="63"/>
      <c r="AJ128" s="130"/>
      <c r="AK128" s="130"/>
      <c r="AL128" s="62"/>
      <c r="AM128" s="63"/>
      <c r="AO128" s="73">
        <f t="shared" ref="AO128:AO159" si="80">COUNTIFS(L128:Q128,"&lt;20")</f>
        <v>2</v>
      </c>
      <c r="AP128" s="73">
        <f t="shared" ref="AP128:AP159" si="81">SUMIF(L128:Q128,"&lt;20")</f>
        <v>10</v>
      </c>
      <c r="AQ128" s="73">
        <f t="shared" ref="AQ128:AQ159" si="82">MAX(L128:Q128)</f>
        <v>20</v>
      </c>
      <c r="AR128" s="73" t="str">
        <f t="shared" ref="AR128:AR159" si="83">IF(AO128&gt;4,L128+M128+N128+O128+P128+Q128-AQ128,IF(AO128&lt;5,"Kevés v."))</f>
        <v>Kevés v.</v>
      </c>
      <c r="AT128" s="273" t="str">
        <f t="shared" ref="AT128:AT159" si="84">IF(F128=2,IF(E128="felnőtt",8300,IF(E128="ifjúsági",6600,IF(E128="női",6600,IF(E128="gyermek",1000,"")))),"")</f>
        <v/>
      </c>
      <c r="AU128" s="273" t="str">
        <f t="shared" ref="AU128:AU159" si="85">IF(F128=3,IF(E128="felnőtt",6300,IF(E128="ifjúsági",4600,IF(E128="női",4600,IF(E128="gyermek",0,"")))),"")</f>
        <v/>
      </c>
      <c r="AV128" s="273" t="str">
        <f t="shared" si="73"/>
        <v/>
      </c>
      <c r="AW128" s="273" t="str">
        <f t="shared" si="72"/>
        <v/>
      </c>
      <c r="AX128" s="274"/>
      <c r="AY128" s="313">
        <f t="shared" ref="AY128:AY159" si="86">SUM(AT128:AX128)</f>
        <v>0</v>
      </c>
    </row>
    <row r="129" spans="1:51" x14ac:dyDescent="0.3">
      <c r="A129" s="68">
        <v>82</v>
      </c>
      <c r="B129" s="339" t="s">
        <v>287</v>
      </c>
      <c r="C129" s="141" t="s">
        <v>216</v>
      </c>
      <c r="D129" s="143" t="s">
        <v>9</v>
      </c>
      <c r="E129" s="142" t="s">
        <v>11</v>
      </c>
      <c r="F129" s="145"/>
      <c r="G129" s="66"/>
      <c r="H129" s="53"/>
      <c r="I129" s="52"/>
      <c r="J129" s="182"/>
      <c r="K129" s="135"/>
      <c r="L129" s="127">
        <v>8</v>
      </c>
      <c r="M129" s="127">
        <v>6</v>
      </c>
      <c r="N129" s="127">
        <f t="shared" si="74"/>
        <v>20</v>
      </c>
      <c r="O129" s="127"/>
      <c r="P129" s="127"/>
      <c r="Q129" s="127"/>
      <c r="R129" s="128">
        <f t="shared" si="75"/>
        <v>34</v>
      </c>
      <c r="T129" s="285">
        <v>13200</v>
      </c>
      <c r="U129" s="285">
        <v>15375</v>
      </c>
      <c r="V129" s="285">
        <f t="shared" si="76"/>
        <v>0</v>
      </c>
      <c r="W129" s="287"/>
      <c r="X129" s="287"/>
      <c r="Y129" s="285"/>
      <c r="Z129" s="286">
        <f t="shared" si="77"/>
        <v>28575</v>
      </c>
      <c r="AB129" s="62" t="s">
        <v>358</v>
      </c>
      <c r="AC129" s="130">
        <v>1</v>
      </c>
      <c r="AD129" s="62" t="s">
        <v>357</v>
      </c>
      <c r="AE129" s="130">
        <v>2</v>
      </c>
      <c r="AF129" s="62" t="str">
        <f t="shared" si="78"/>
        <v>-</v>
      </c>
      <c r="AG129" s="130" t="str">
        <f t="shared" si="79"/>
        <v>-</v>
      </c>
      <c r="AH129" s="62"/>
      <c r="AI129" s="63"/>
      <c r="AJ129" s="130"/>
      <c r="AK129" s="130"/>
      <c r="AL129" s="62"/>
      <c r="AM129" s="63"/>
      <c r="AO129" s="73">
        <f t="shared" si="80"/>
        <v>2</v>
      </c>
      <c r="AP129" s="73">
        <f t="shared" si="81"/>
        <v>14</v>
      </c>
      <c r="AQ129" s="73">
        <f t="shared" si="82"/>
        <v>20</v>
      </c>
      <c r="AR129" s="73" t="str">
        <f t="shared" si="83"/>
        <v>Kevés v.</v>
      </c>
      <c r="AT129" s="273" t="str">
        <f t="shared" si="84"/>
        <v/>
      </c>
      <c r="AU129" s="273" t="str">
        <f t="shared" si="85"/>
        <v/>
      </c>
      <c r="AV129" s="273" t="str">
        <f t="shared" si="73"/>
        <v/>
      </c>
      <c r="AW129" s="273" t="str">
        <f t="shared" si="72"/>
        <v/>
      </c>
      <c r="AX129" s="274"/>
      <c r="AY129" s="313">
        <f t="shared" si="86"/>
        <v>0</v>
      </c>
    </row>
    <row r="130" spans="1:51" x14ac:dyDescent="0.3">
      <c r="A130" s="68">
        <v>83</v>
      </c>
      <c r="B130" s="339" t="s">
        <v>288</v>
      </c>
      <c r="C130" s="141" t="s">
        <v>289</v>
      </c>
      <c r="D130" s="143" t="s">
        <v>9</v>
      </c>
      <c r="E130" s="142" t="s">
        <v>103</v>
      </c>
      <c r="F130" s="145"/>
      <c r="G130" s="66"/>
      <c r="H130" s="53"/>
      <c r="I130" s="52"/>
      <c r="J130" s="182"/>
      <c r="K130" s="135"/>
      <c r="L130" s="127">
        <v>2</v>
      </c>
      <c r="M130" s="127">
        <v>9</v>
      </c>
      <c r="N130" s="127">
        <f t="shared" si="74"/>
        <v>20</v>
      </c>
      <c r="O130" s="127"/>
      <c r="P130" s="127"/>
      <c r="Q130" s="127"/>
      <c r="R130" s="128">
        <f t="shared" si="75"/>
        <v>31</v>
      </c>
      <c r="T130" s="285">
        <v>21775</v>
      </c>
      <c r="U130" s="285">
        <v>17500</v>
      </c>
      <c r="V130" s="285">
        <f t="shared" si="76"/>
        <v>0</v>
      </c>
      <c r="W130" s="287"/>
      <c r="X130" s="287"/>
      <c r="Y130" s="285"/>
      <c r="Z130" s="286">
        <f t="shared" si="77"/>
        <v>39275</v>
      </c>
      <c r="AB130" s="62" t="s">
        <v>361</v>
      </c>
      <c r="AC130" s="130">
        <v>4</v>
      </c>
      <c r="AD130" s="62" t="s">
        <v>354</v>
      </c>
      <c r="AE130" s="130">
        <v>10</v>
      </c>
      <c r="AF130" s="62" t="str">
        <f t="shared" si="78"/>
        <v>-</v>
      </c>
      <c r="AG130" s="130" t="str">
        <f t="shared" si="79"/>
        <v>-</v>
      </c>
      <c r="AH130" s="62"/>
      <c r="AI130" s="63"/>
      <c r="AJ130" s="130"/>
      <c r="AK130" s="130"/>
      <c r="AL130" s="62"/>
      <c r="AM130" s="63"/>
      <c r="AO130" s="73">
        <f t="shared" si="80"/>
        <v>2</v>
      </c>
      <c r="AP130" s="73">
        <f t="shared" si="81"/>
        <v>11</v>
      </c>
      <c r="AQ130" s="73">
        <f t="shared" si="82"/>
        <v>20</v>
      </c>
      <c r="AR130" s="73" t="str">
        <f t="shared" si="83"/>
        <v>Kevés v.</v>
      </c>
      <c r="AT130" s="273" t="str">
        <f t="shared" si="84"/>
        <v/>
      </c>
      <c r="AU130" s="273" t="str">
        <f t="shared" si="85"/>
        <v/>
      </c>
      <c r="AV130" s="273" t="str">
        <f t="shared" si="73"/>
        <v/>
      </c>
      <c r="AW130" s="273" t="str">
        <f t="shared" ref="AW130:AW161" si="87">IF(F130=7,IF(E130="felnőtt",31500,IF(E130="ifjúsági",23000,IF(E130="női",23000,IF(E130="gyermek",0,"")))),"")</f>
        <v/>
      </c>
      <c r="AX130" s="274"/>
      <c r="AY130" s="313">
        <f t="shared" si="86"/>
        <v>0</v>
      </c>
    </row>
    <row r="131" spans="1:51" x14ac:dyDescent="0.3">
      <c r="A131" s="68">
        <v>85</v>
      </c>
      <c r="B131" s="339" t="s">
        <v>291</v>
      </c>
      <c r="C131" s="141" t="s">
        <v>104</v>
      </c>
      <c r="D131" s="143" t="s">
        <v>9</v>
      </c>
      <c r="E131" s="142" t="s">
        <v>103</v>
      </c>
      <c r="F131" s="145"/>
      <c r="G131" s="66"/>
      <c r="H131" s="53"/>
      <c r="I131" s="52"/>
      <c r="J131" s="182"/>
      <c r="K131" s="135"/>
      <c r="L131" s="127">
        <v>7</v>
      </c>
      <c r="M131" s="127">
        <v>20</v>
      </c>
      <c r="N131" s="127">
        <f t="shared" si="74"/>
        <v>20</v>
      </c>
      <c r="O131" s="127"/>
      <c r="P131" s="127"/>
      <c r="Q131" s="127"/>
      <c r="R131" s="128">
        <f t="shared" si="75"/>
        <v>47</v>
      </c>
      <c r="T131" s="285">
        <v>14775</v>
      </c>
      <c r="U131" s="285">
        <v>0</v>
      </c>
      <c r="V131" s="285">
        <f t="shared" si="76"/>
        <v>0</v>
      </c>
      <c r="W131" s="287"/>
      <c r="X131" s="287"/>
      <c r="Y131" s="285"/>
      <c r="Z131" s="286">
        <f t="shared" si="77"/>
        <v>14775</v>
      </c>
      <c r="AB131" s="62" t="s">
        <v>362</v>
      </c>
      <c r="AC131" s="130">
        <v>7</v>
      </c>
      <c r="AD131" s="62" t="s">
        <v>185</v>
      </c>
      <c r="AE131" s="130" t="s">
        <v>185</v>
      </c>
      <c r="AF131" s="62" t="str">
        <f t="shared" si="78"/>
        <v>-</v>
      </c>
      <c r="AG131" s="130" t="str">
        <f t="shared" si="79"/>
        <v>-</v>
      </c>
      <c r="AH131" s="62"/>
      <c r="AI131" s="63"/>
      <c r="AJ131" s="130"/>
      <c r="AK131" s="130"/>
      <c r="AL131" s="62"/>
      <c r="AM131" s="63"/>
      <c r="AO131" s="73">
        <f t="shared" si="80"/>
        <v>1</v>
      </c>
      <c r="AP131" s="73">
        <f t="shared" si="81"/>
        <v>7</v>
      </c>
      <c r="AQ131" s="73">
        <f t="shared" si="82"/>
        <v>20</v>
      </c>
      <c r="AR131" s="73" t="str">
        <f t="shared" si="83"/>
        <v>Kevés v.</v>
      </c>
      <c r="AT131" s="273" t="str">
        <f t="shared" si="84"/>
        <v/>
      </c>
      <c r="AU131" s="273" t="str">
        <f t="shared" si="85"/>
        <v/>
      </c>
      <c r="AV131" s="273" t="str">
        <f t="shared" si="73"/>
        <v/>
      </c>
      <c r="AW131" s="273" t="str">
        <f t="shared" si="87"/>
        <v/>
      </c>
      <c r="AX131" s="274"/>
      <c r="AY131" s="313">
        <f t="shared" si="86"/>
        <v>0</v>
      </c>
    </row>
    <row r="132" spans="1:51" x14ac:dyDescent="0.3">
      <c r="A132" s="68">
        <v>86</v>
      </c>
      <c r="B132" s="339" t="s">
        <v>292</v>
      </c>
      <c r="C132" s="141" t="s">
        <v>104</v>
      </c>
      <c r="D132" s="143" t="s">
        <v>9</v>
      </c>
      <c r="E132" s="142" t="s">
        <v>103</v>
      </c>
      <c r="F132" s="145"/>
      <c r="G132" s="66"/>
      <c r="H132" s="53"/>
      <c r="I132" s="52"/>
      <c r="J132" s="182"/>
      <c r="K132" s="135"/>
      <c r="L132" s="127">
        <v>5</v>
      </c>
      <c r="M132" s="127">
        <v>1</v>
      </c>
      <c r="N132" s="127">
        <f t="shared" si="74"/>
        <v>20</v>
      </c>
      <c r="O132" s="127"/>
      <c r="P132" s="127"/>
      <c r="Q132" s="127"/>
      <c r="R132" s="128">
        <f t="shared" si="75"/>
        <v>26</v>
      </c>
      <c r="T132" s="285">
        <v>19925</v>
      </c>
      <c r="U132" s="285">
        <v>19150</v>
      </c>
      <c r="V132" s="285">
        <f t="shared" si="76"/>
        <v>0</v>
      </c>
      <c r="W132" s="287"/>
      <c r="X132" s="287"/>
      <c r="Y132" s="285"/>
      <c r="Z132" s="286">
        <f t="shared" si="77"/>
        <v>39075</v>
      </c>
      <c r="AB132" s="62" t="s">
        <v>361</v>
      </c>
      <c r="AC132" s="130">
        <v>1</v>
      </c>
      <c r="AD132" s="62" t="s">
        <v>357</v>
      </c>
      <c r="AE132" s="130">
        <v>1</v>
      </c>
      <c r="AF132" s="62" t="str">
        <f t="shared" si="78"/>
        <v>-</v>
      </c>
      <c r="AG132" s="130" t="str">
        <f t="shared" si="79"/>
        <v>-</v>
      </c>
      <c r="AH132" s="62"/>
      <c r="AI132" s="63"/>
      <c r="AJ132" s="130"/>
      <c r="AK132" s="130"/>
      <c r="AL132" s="62"/>
      <c r="AM132" s="63"/>
      <c r="AO132" s="73">
        <f t="shared" si="80"/>
        <v>2</v>
      </c>
      <c r="AP132" s="73">
        <f t="shared" si="81"/>
        <v>6</v>
      </c>
      <c r="AQ132" s="73">
        <f t="shared" si="82"/>
        <v>20</v>
      </c>
      <c r="AR132" s="73" t="str">
        <f t="shared" si="83"/>
        <v>Kevés v.</v>
      </c>
      <c r="AT132" s="273" t="str">
        <f t="shared" si="84"/>
        <v/>
      </c>
      <c r="AU132" s="273" t="str">
        <f t="shared" si="85"/>
        <v/>
      </c>
      <c r="AV132" s="273" t="str">
        <f t="shared" ref="AV132:AV144" si="88">IF(F132=6,IF(E132="felnőtt",41500,IF(E132="ifjúsági",33000,IF(E132="női",33000,IF(E132="gyermek",5000,"")))),"")</f>
        <v/>
      </c>
      <c r="AW132" s="273" t="str">
        <f t="shared" si="87"/>
        <v/>
      </c>
      <c r="AX132" s="274"/>
      <c r="AY132" s="313">
        <f t="shared" si="86"/>
        <v>0</v>
      </c>
    </row>
    <row r="133" spans="1:51" x14ac:dyDescent="0.3">
      <c r="A133" s="68">
        <v>87</v>
      </c>
      <c r="B133" s="339" t="s">
        <v>293</v>
      </c>
      <c r="C133" s="250" t="s">
        <v>294</v>
      </c>
      <c r="D133" s="143" t="s">
        <v>9</v>
      </c>
      <c r="E133" s="142" t="s">
        <v>103</v>
      </c>
      <c r="F133" s="145"/>
      <c r="G133" s="66"/>
      <c r="H133" s="53"/>
      <c r="I133" s="52"/>
      <c r="J133" s="182"/>
      <c r="K133" s="135"/>
      <c r="L133" s="127">
        <v>11</v>
      </c>
      <c r="M133" s="127">
        <v>10</v>
      </c>
      <c r="N133" s="127">
        <f t="shared" si="74"/>
        <v>20</v>
      </c>
      <c r="O133" s="127"/>
      <c r="P133" s="127"/>
      <c r="Q133" s="127"/>
      <c r="R133" s="128">
        <f t="shared" si="75"/>
        <v>41</v>
      </c>
      <c r="T133" s="285">
        <v>9625</v>
      </c>
      <c r="U133" s="285">
        <v>11025</v>
      </c>
      <c r="V133" s="285">
        <f t="shared" si="76"/>
        <v>0</v>
      </c>
      <c r="W133" s="287"/>
      <c r="X133" s="287"/>
      <c r="Y133" s="285"/>
      <c r="Z133" s="286">
        <f t="shared" si="77"/>
        <v>20650</v>
      </c>
      <c r="AB133" s="62" t="s">
        <v>358</v>
      </c>
      <c r="AC133" s="130">
        <v>8</v>
      </c>
      <c r="AD133" s="62" t="s">
        <v>357</v>
      </c>
      <c r="AE133" s="130">
        <v>9</v>
      </c>
      <c r="AF133" s="62" t="str">
        <f t="shared" si="78"/>
        <v>-</v>
      </c>
      <c r="AG133" s="130" t="str">
        <f t="shared" si="79"/>
        <v>-</v>
      </c>
      <c r="AH133" s="62"/>
      <c r="AI133" s="63"/>
      <c r="AJ133" s="130"/>
      <c r="AK133" s="130"/>
      <c r="AL133" s="62"/>
      <c r="AM133" s="63"/>
      <c r="AO133" s="73">
        <f t="shared" si="80"/>
        <v>2</v>
      </c>
      <c r="AP133" s="73">
        <f t="shared" si="81"/>
        <v>21</v>
      </c>
      <c r="AQ133" s="73">
        <f t="shared" si="82"/>
        <v>20</v>
      </c>
      <c r="AR133" s="73" t="str">
        <f t="shared" si="83"/>
        <v>Kevés v.</v>
      </c>
      <c r="AT133" s="273" t="str">
        <f t="shared" si="84"/>
        <v/>
      </c>
      <c r="AU133" s="273" t="str">
        <f t="shared" si="85"/>
        <v/>
      </c>
      <c r="AV133" s="273" t="str">
        <f t="shared" si="88"/>
        <v/>
      </c>
      <c r="AW133" s="273" t="str">
        <f t="shared" si="87"/>
        <v/>
      </c>
      <c r="AX133" s="274"/>
      <c r="AY133" s="313">
        <f t="shared" si="86"/>
        <v>0</v>
      </c>
    </row>
    <row r="134" spans="1:51" x14ac:dyDescent="0.3">
      <c r="A134" s="68">
        <v>88</v>
      </c>
      <c r="B134" s="340" t="s">
        <v>295</v>
      </c>
      <c r="C134" s="250" t="s">
        <v>146</v>
      </c>
      <c r="D134" s="143" t="s">
        <v>9</v>
      </c>
      <c r="E134" s="142" t="s">
        <v>103</v>
      </c>
      <c r="F134" s="145"/>
      <c r="G134" s="66"/>
      <c r="H134" s="53"/>
      <c r="I134" s="52"/>
      <c r="J134" s="182"/>
      <c r="K134" s="135"/>
      <c r="L134" s="127">
        <v>9</v>
      </c>
      <c r="M134" s="127">
        <v>11.5</v>
      </c>
      <c r="N134" s="127">
        <f t="shared" si="74"/>
        <v>20</v>
      </c>
      <c r="O134" s="127"/>
      <c r="P134" s="127"/>
      <c r="Q134" s="127"/>
      <c r="R134" s="128">
        <f t="shared" si="75"/>
        <v>40.5</v>
      </c>
      <c r="T134" s="285">
        <v>13600</v>
      </c>
      <c r="U134" s="285">
        <v>15000</v>
      </c>
      <c r="V134" s="285">
        <f t="shared" si="76"/>
        <v>0</v>
      </c>
      <c r="W134" s="287"/>
      <c r="X134" s="287"/>
      <c r="Y134" s="285"/>
      <c r="Z134" s="286">
        <f t="shared" si="77"/>
        <v>28600</v>
      </c>
      <c r="AB134" s="62" t="s">
        <v>361</v>
      </c>
      <c r="AC134" s="130">
        <v>6</v>
      </c>
      <c r="AD134" s="62" t="s">
        <v>354</v>
      </c>
      <c r="AE134" s="130">
        <v>8</v>
      </c>
      <c r="AF134" s="62" t="str">
        <f t="shared" si="78"/>
        <v>-</v>
      </c>
      <c r="AG134" s="130" t="str">
        <f t="shared" si="79"/>
        <v>-</v>
      </c>
      <c r="AH134" s="62"/>
      <c r="AI134" s="63"/>
      <c r="AJ134" s="130"/>
      <c r="AK134" s="130"/>
      <c r="AL134" s="62"/>
      <c r="AM134" s="63"/>
      <c r="AO134" s="73">
        <f t="shared" si="80"/>
        <v>2</v>
      </c>
      <c r="AP134" s="73">
        <f t="shared" si="81"/>
        <v>20.5</v>
      </c>
      <c r="AQ134" s="73">
        <f t="shared" si="82"/>
        <v>20</v>
      </c>
      <c r="AR134" s="73" t="str">
        <f t="shared" si="83"/>
        <v>Kevés v.</v>
      </c>
      <c r="AT134" s="273" t="str">
        <f t="shared" si="84"/>
        <v/>
      </c>
      <c r="AU134" s="273" t="str">
        <f t="shared" si="85"/>
        <v/>
      </c>
      <c r="AV134" s="273" t="str">
        <f t="shared" si="88"/>
        <v/>
      </c>
      <c r="AW134" s="273" t="str">
        <f t="shared" si="87"/>
        <v/>
      </c>
      <c r="AX134" s="274"/>
      <c r="AY134" s="313">
        <f t="shared" si="86"/>
        <v>0</v>
      </c>
    </row>
    <row r="135" spans="1:51" x14ac:dyDescent="0.3">
      <c r="A135" s="68">
        <v>91</v>
      </c>
      <c r="B135" s="339" t="s">
        <v>299</v>
      </c>
      <c r="C135" s="250" t="s">
        <v>300</v>
      </c>
      <c r="D135" s="143" t="s">
        <v>192</v>
      </c>
      <c r="E135" s="142" t="s">
        <v>10</v>
      </c>
      <c r="F135" s="145"/>
      <c r="G135" s="66"/>
      <c r="H135" s="53"/>
      <c r="I135" s="52"/>
      <c r="J135" s="182"/>
      <c r="K135" s="135"/>
      <c r="L135" s="127">
        <v>2</v>
      </c>
      <c r="M135" s="127">
        <v>4</v>
      </c>
      <c r="N135" s="127">
        <f t="shared" si="74"/>
        <v>20</v>
      </c>
      <c r="O135" s="127"/>
      <c r="P135" s="127"/>
      <c r="Q135" s="127"/>
      <c r="R135" s="128">
        <f t="shared" si="75"/>
        <v>26</v>
      </c>
      <c r="T135" s="285">
        <v>5500</v>
      </c>
      <c r="U135" s="285">
        <v>4725</v>
      </c>
      <c r="V135" s="285">
        <f t="shared" si="76"/>
        <v>0</v>
      </c>
      <c r="W135" s="287"/>
      <c r="X135" s="287"/>
      <c r="Y135" s="285"/>
      <c r="Z135" s="286">
        <f t="shared" si="77"/>
        <v>10225</v>
      </c>
      <c r="AB135" s="62" t="s">
        <v>363</v>
      </c>
      <c r="AC135" s="130">
        <v>5</v>
      </c>
      <c r="AD135" s="62" t="s">
        <v>352</v>
      </c>
      <c r="AE135" s="130">
        <v>2</v>
      </c>
      <c r="AF135" s="62" t="str">
        <f t="shared" si="78"/>
        <v>-</v>
      </c>
      <c r="AG135" s="130" t="str">
        <f t="shared" si="79"/>
        <v>-</v>
      </c>
      <c r="AH135" s="62"/>
      <c r="AI135" s="63"/>
      <c r="AJ135" s="130"/>
      <c r="AK135" s="130"/>
      <c r="AL135" s="62"/>
      <c r="AM135" s="63"/>
      <c r="AO135" s="73">
        <f t="shared" si="80"/>
        <v>2</v>
      </c>
      <c r="AP135" s="73">
        <f t="shared" si="81"/>
        <v>6</v>
      </c>
      <c r="AQ135" s="73">
        <f t="shared" si="82"/>
        <v>20</v>
      </c>
      <c r="AR135" s="73" t="str">
        <f t="shared" si="83"/>
        <v>Kevés v.</v>
      </c>
      <c r="AT135" s="273" t="str">
        <f t="shared" si="84"/>
        <v/>
      </c>
      <c r="AU135" s="273" t="str">
        <f t="shared" si="85"/>
        <v/>
      </c>
      <c r="AV135" s="273" t="str">
        <f t="shared" si="88"/>
        <v/>
      </c>
      <c r="AW135" s="273" t="str">
        <f t="shared" si="87"/>
        <v/>
      </c>
      <c r="AX135" s="274"/>
      <c r="AY135" s="313">
        <f t="shared" si="86"/>
        <v>0</v>
      </c>
    </row>
    <row r="136" spans="1:51" x14ac:dyDescent="0.3">
      <c r="A136" s="68">
        <v>92</v>
      </c>
      <c r="B136" s="339" t="s">
        <v>301</v>
      </c>
      <c r="C136" s="250" t="s">
        <v>302</v>
      </c>
      <c r="D136" s="143" t="s">
        <v>192</v>
      </c>
      <c r="E136" s="142" t="s">
        <v>10</v>
      </c>
      <c r="F136" s="145"/>
      <c r="G136" s="66"/>
      <c r="H136" s="53"/>
      <c r="I136" s="52"/>
      <c r="J136" s="182"/>
      <c r="K136" s="135"/>
      <c r="L136" s="127">
        <v>6</v>
      </c>
      <c r="M136" s="127">
        <v>20</v>
      </c>
      <c r="N136" s="127">
        <f t="shared" si="74"/>
        <v>20</v>
      </c>
      <c r="O136" s="127"/>
      <c r="P136" s="127"/>
      <c r="Q136" s="127"/>
      <c r="R136" s="128">
        <f t="shared" si="75"/>
        <v>46</v>
      </c>
      <c r="T136" s="285">
        <v>0</v>
      </c>
      <c r="U136" s="285">
        <v>0</v>
      </c>
      <c r="V136" s="285">
        <f t="shared" si="76"/>
        <v>0</v>
      </c>
      <c r="W136" s="287"/>
      <c r="X136" s="287"/>
      <c r="Y136" s="285"/>
      <c r="Z136" s="286">
        <f t="shared" si="77"/>
        <v>0</v>
      </c>
      <c r="AB136" s="62" t="s">
        <v>363</v>
      </c>
      <c r="AC136" s="130">
        <v>4</v>
      </c>
      <c r="AD136" s="62" t="s">
        <v>185</v>
      </c>
      <c r="AE136" s="130" t="s">
        <v>185</v>
      </c>
      <c r="AF136" s="62" t="str">
        <f t="shared" si="78"/>
        <v>-</v>
      </c>
      <c r="AG136" s="130" t="str">
        <f t="shared" si="79"/>
        <v>-</v>
      </c>
      <c r="AH136" s="62"/>
      <c r="AI136" s="63"/>
      <c r="AJ136" s="130"/>
      <c r="AK136" s="130"/>
      <c r="AL136" s="62"/>
      <c r="AM136" s="63"/>
      <c r="AO136" s="73">
        <f t="shared" si="80"/>
        <v>1</v>
      </c>
      <c r="AP136" s="73">
        <f t="shared" si="81"/>
        <v>6</v>
      </c>
      <c r="AQ136" s="73">
        <f t="shared" si="82"/>
        <v>20</v>
      </c>
      <c r="AR136" s="73" t="str">
        <f t="shared" si="83"/>
        <v>Kevés v.</v>
      </c>
      <c r="AT136" s="273" t="str">
        <f t="shared" si="84"/>
        <v/>
      </c>
      <c r="AU136" s="273" t="str">
        <f t="shared" si="85"/>
        <v/>
      </c>
      <c r="AV136" s="273" t="str">
        <f t="shared" si="88"/>
        <v/>
      </c>
      <c r="AW136" s="273" t="str">
        <f t="shared" si="87"/>
        <v/>
      </c>
      <c r="AX136" s="274"/>
      <c r="AY136" s="313">
        <f t="shared" si="86"/>
        <v>0</v>
      </c>
    </row>
    <row r="137" spans="1:51" x14ac:dyDescent="0.3">
      <c r="A137" s="68">
        <v>93</v>
      </c>
      <c r="B137" s="339" t="s">
        <v>303</v>
      </c>
      <c r="C137" s="250" t="s">
        <v>304</v>
      </c>
      <c r="D137" s="143" t="s">
        <v>116</v>
      </c>
      <c r="E137" s="142" t="s">
        <v>103</v>
      </c>
      <c r="F137" s="145"/>
      <c r="G137" s="66"/>
      <c r="H137" s="53"/>
      <c r="I137" s="52"/>
      <c r="J137" s="182"/>
      <c r="K137" s="135"/>
      <c r="L137" s="127">
        <v>1</v>
      </c>
      <c r="M137" s="127">
        <v>20</v>
      </c>
      <c r="N137" s="127">
        <f t="shared" si="74"/>
        <v>20</v>
      </c>
      <c r="O137" s="127"/>
      <c r="P137" s="127"/>
      <c r="Q137" s="127"/>
      <c r="R137" s="128">
        <f t="shared" si="75"/>
        <v>41</v>
      </c>
      <c r="T137" s="285">
        <v>37720</v>
      </c>
      <c r="U137" s="285">
        <v>0</v>
      </c>
      <c r="V137" s="285">
        <f t="shared" si="76"/>
        <v>0</v>
      </c>
      <c r="W137" s="287"/>
      <c r="X137" s="287"/>
      <c r="Y137" s="285"/>
      <c r="Z137" s="286">
        <f t="shared" si="77"/>
        <v>37720</v>
      </c>
      <c r="AB137" s="62" t="s">
        <v>354</v>
      </c>
      <c r="AC137" s="130">
        <v>7</v>
      </c>
      <c r="AD137" s="62" t="s">
        <v>185</v>
      </c>
      <c r="AE137" s="130" t="s">
        <v>185</v>
      </c>
      <c r="AF137" s="62" t="str">
        <f t="shared" si="78"/>
        <v>-</v>
      </c>
      <c r="AG137" s="130" t="str">
        <f t="shared" si="79"/>
        <v>-</v>
      </c>
      <c r="AH137" s="62"/>
      <c r="AI137" s="63"/>
      <c r="AJ137" s="130"/>
      <c r="AK137" s="130"/>
      <c r="AL137" s="62"/>
      <c r="AM137" s="63"/>
      <c r="AO137" s="73">
        <f t="shared" si="80"/>
        <v>1</v>
      </c>
      <c r="AP137" s="73">
        <f t="shared" si="81"/>
        <v>1</v>
      </c>
      <c r="AQ137" s="73">
        <f t="shared" si="82"/>
        <v>20</v>
      </c>
      <c r="AR137" s="73" t="str">
        <f t="shared" si="83"/>
        <v>Kevés v.</v>
      </c>
      <c r="AT137" s="273" t="str">
        <f t="shared" si="84"/>
        <v/>
      </c>
      <c r="AU137" s="273" t="str">
        <f t="shared" si="85"/>
        <v/>
      </c>
      <c r="AV137" s="273" t="str">
        <f t="shared" si="88"/>
        <v/>
      </c>
      <c r="AW137" s="273" t="str">
        <f t="shared" si="87"/>
        <v/>
      </c>
      <c r="AX137" s="274"/>
      <c r="AY137" s="313">
        <f t="shared" si="86"/>
        <v>0</v>
      </c>
    </row>
    <row r="138" spans="1:51" x14ac:dyDescent="0.3">
      <c r="A138" s="68">
        <v>99</v>
      </c>
      <c r="B138" s="339" t="s">
        <v>313</v>
      </c>
      <c r="C138" s="141" t="s">
        <v>105</v>
      </c>
      <c r="D138" s="143" t="s">
        <v>113</v>
      </c>
      <c r="E138" s="142" t="s">
        <v>103</v>
      </c>
      <c r="F138" s="145"/>
      <c r="G138" s="66"/>
      <c r="H138" s="53"/>
      <c r="I138" s="52"/>
      <c r="J138" s="182"/>
      <c r="K138" s="135"/>
      <c r="L138" s="127">
        <v>6</v>
      </c>
      <c r="M138" s="127">
        <v>20</v>
      </c>
      <c r="N138" s="127">
        <f t="shared" si="74"/>
        <v>20</v>
      </c>
      <c r="O138" s="127"/>
      <c r="P138" s="127"/>
      <c r="Q138" s="127"/>
      <c r="R138" s="128">
        <f t="shared" si="75"/>
        <v>46</v>
      </c>
      <c r="T138" s="285">
        <v>6575</v>
      </c>
      <c r="U138" s="285">
        <v>0</v>
      </c>
      <c r="V138" s="285">
        <f t="shared" si="76"/>
        <v>0</v>
      </c>
      <c r="W138" s="287"/>
      <c r="X138" s="287"/>
      <c r="Y138" s="285"/>
      <c r="Z138" s="286">
        <f t="shared" si="77"/>
        <v>6575</v>
      </c>
      <c r="AB138" s="62" t="s">
        <v>356</v>
      </c>
      <c r="AC138" s="130">
        <v>8</v>
      </c>
      <c r="AD138" s="62" t="s">
        <v>185</v>
      </c>
      <c r="AE138" s="130" t="s">
        <v>185</v>
      </c>
      <c r="AF138" s="62" t="str">
        <f t="shared" si="78"/>
        <v>-</v>
      </c>
      <c r="AG138" s="130" t="str">
        <f t="shared" si="79"/>
        <v>-</v>
      </c>
      <c r="AH138" s="62"/>
      <c r="AI138" s="63"/>
      <c r="AJ138" s="130"/>
      <c r="AK138" s="130"/>
      <c r="AL138" s="62"/>
      <c r="AM138" s="63"/>
      <c r="AO138" s="73">
        <f t="shared" si="80"/>
        <v>1</v>
      </c>
      <c r="AP138" s="73">
        <f t="shared" si="81"/>
        <v>6</v>
      </c>
      <c r="AQ138" s="73">
        <f t="shared" si="82"/>
        <v>20</v>
      </c>
      <c r="AR138" s="73" t="str">
        <f t="shared" si="83"/>
        <v>Kevés v.</v>
      </c>
      <c r="AT138" s="273" t="str">
        <f t="shared" si="84"/>
        <v/>
      </c>
      <c r="AU138" s="273" t="str">
        <f t="shared" si="85"/>
        <v/>
      </c>
      <c r="AV138" s="273" t="str">
        <f t="shared" si="88"/>
        <v/>
      </c>
      <c r="AW138" s="273" t="str">
        <f t="shared" si="87"/>
        <v/>
      </c>
      <c r="AX138" s="274"/>
      <c r="AY138" s="313">
        <f t="shared" si="86"/>
        <v>0</v>
      </c>
    </row>
    <row r="139" spans="1:51" x14ac:dyDescent="0.3">
      <c r="A139" s="68">
        <v>101</v>
      </c>
      <c r="B139" s="339" t="s">
        <v>316</v>
      </c>
      <c r="C139" s="141" t="s">
        <v>105</v>
      </c>
      <c r="D139" s="143" t="s">
        <v>113</v>
      </c>
      <c r="E139" s="142" t="s">
        <v>103</v>
      </c>
      <c r="F139" s="145"/>
      <c r="G139" s="66"/>
      <c r="H139" s="53"/>
      <c r="I139" s="52"/>
      <c r="J139" s="182"/>
      <c r="K139" s="135"/>
      <c r="L139" s="127">
        <v>20</v>
      </c>
      <c r="M139" s="127">
        <v>20</v>
      </c>
      <c r="N139" s="127">
        <f t="shared" si="74"/>
        <v>20</v>
      </c>
      <c r="O139" s="127"/>
      <c r="P139" s="127"/>
      <c r="Q139" s="127"/>
      <c r="R139" s="128">
        <f t="shared" si="75"/>
        <v>60</v>
      </c>
      <c r="T139" s="285">
        <v>0</v>
      </c>
      <c r="U139" s="285">
        <v>0</v>
      </c>
      <c r="V139" s="285">
        <f t="shared" si="76"/>
        <v>0</v>
      </c>
      <c r="W139" s="287"/>
      <c r="X139" s="287"/>
      <c r="Y139" s="285"/>
      <c r="Z139" s="286">
        <f t="shared" si="77"/>
        <v>0</v>
      </c>
      <c r="AB139" s="62" t="s">
        <v>185</v>
      </c>
      <c r="AC139" s="130" t="s">
        <v>185</v>
      </c>
      <c r="AD139" s="62" t="s">
        <v>185</v>
      </c>
      <c r="AE139" s="130" t="s">
        <v>185</v>
      </c>
      <c r="AF139" s="62" t="str">
        <f t="shared" si="78"/>
        <v>-</v>
      </c>
      <c r="AG139" s="130" t="str">
        <f t="shared" si="79"/>
        <v>-</v>
      </c>
      <c r="AH139" s="62"/>
      <c r="AI139" s="63"/>
      <c r="AJ139" s="130"/>
      <c r="AK139" s="130"/>
      <c r="AL139" s="62"/>
      <c r="AM139" s="63"/>
      <c r="AO139" s="73">
        <f t="shared" si="80"/>
        <v>0</v>
      </c>
      <c r="AP139" s="73">
        <f t="shared" si="81"/>
        <v>0</v>
      </c>
      <c r="AQ139" s="73">
        <f t="shared" si="82"/>
        <v>20</v>
      </c>
      <c r="AR139" s="73" t="str">
        <f t="shared" si="83"/>
        <v>Kevés v.</v>
      </c>
      <c r="AT139" s="273" t="str">
        <f t="shared" si="84"/>
        <v/>
      </c>
      <c r="AU139" s="273" t="str">
        <f t="shared" si="85"/>
        <v/>
      </c>
      <c r="AV139" s="273" t="str">
        <f t="shared" si="88"/>
        <v/>
      </c>
      <c r="AW139" s="273" t="str">
        <f t="shared" si="87"/>
        <v/>
      </c>
      <c r="AX139" s="274"/>
      <c r="AY139" s="313">
        <f t="shared" si="86"/>
        <v>0</v>
      </c>
    </row>
    <row r="140" spans="1:51" x14ac:dyDescent="0.3">
      <c r="A140" s="68">
        <v>102</v>
      </c>
      <c r="B140" s="339" t="s">
        <v>317</v>
      </c>
      <c r="C140" s="250" t="s">
        <v>318</v>
      </c>
      <c r="D140" s="143" t="s">
        <v>113</v>
      </c>
      <c r="E140" s="142" t="s">
        <v>103</v>
      </c>
      <c r="F140" s="145"/>
      <c r="G140" s="66"/>
      <c r="H140" s="53"/>
      <c r="I140" s="52"/>
      <c r="J140" s="182"/>
      <c r="K140" s="135"/>
      <c r="L140" s="127">
        <v>6</v>
      </c>
      <c r="M140" s="127">
        <v>20</v>
      </c>
      <c r="N140" s="127">
        <f t="shared" si="74"/>
        <v>20</v>
      </c>
      <c r="O140" s="127"/>
      <c r="P140" s="127"/>
      <c r="Q140" s="127"/>
      <c r="R140" s="128">
        <f t="shared" si="75"/>
        <v>46</v>
      </c>
      <c r="T140" s="285">
        <v>8150</v>
      </c>
      <c r="U140" s="285">
        <v>0</v>
      </c>
      <c r="V140" s="285">
        <f t="shared" si="76"/>
        <v>0</v>
      </c>
      <c r="W140" s="287"/>
      <c r="X140" s="287"/>
      <c r="Y140" s="285"/>
      <c r="Z140" s="286">
        <f t="shared" si="77"/>
        <v>8150</v>
      </c>
      <c r="AB140" s="62" t="s">
        <v>360</v>
      </c>
      <c r="AC140" s="130">
        <v>7</v>
      </c>
      <c r="AD140" s="62" t="s">
        <v>185</v>
      </c>
      <c r="AE140" s="130" t="s">
        <v>185</v>
      </c>
      <c r="AF140" s="62" t="str">
        <f t="shared" si="78"/>
        <v>-</v>
      </c>
      <c r="AG140" s="130" t="str">
        <f t="shared" si="79"/>
        <v>-</v>
      </c>
      <c r="AH140" s="62"/>
      <c r="AI140" s="63"/>
      <c r="AJ140" s="130"/>
      <c r="AK140" s="130"/>
      <c r="AL140" s="62"/>
      <c r="AM140" s="63"/>
      <c r="AO140" s="73">
        <f t="shared" si="80"/>
        <v>1</v>
      </c>
      <c r="AP140" s="73">
        <f t="shared" si="81"/>
        <v>6</v>
      </c>
      <c r="AQ140" s="73">
        <f t="shared" si="82"/>
        <v>20</v>
      </c>
      <c r="AR140" s="73" t="str">
        <f t="shared" si="83"/>
        <v>Kevés v.</v>
      </c>
      <c r="AT140" s="273" t="str">
        <f t="shared" si="84"/>
        <v/>
      </c>
      <c r="AU140" s="273" t="str">
        <f t="shared" si="85"/>
        <v/>
      </c>
      <c r="AV140" s="273" t="str">
        <f t="shared" si="88"/>
        <v/>
      </c>
      <c r="AW140" s="273" t="str">
        <f t="shared" si="87"/>
        <v/>
      </c>
      <c r="AX140" s="274"/>
      <c r="AY140" s="313">
        <f t="shared" si="86"/>
        <v>0</v>
      </c>
    </row>
    <row r="141" spans="1:51" x14ac:dyDescent="0.3">
      <c r="A141" s="68">
        <v>103</v>
      </c>
      <c r="B141" s="339" t="s">
        <v>319</v>
      </c>
      <c r="C141" s="141" t="s">
        <v>320</v>
      </c>
      <c r="D141" s="143" t="s">
        <v>113</v>
      </c>
      <c r="E141" s="142" t="s">
        <v>103</v>
      </c>
      <c r="F141" s="145"/>
      <c r="G141" s="66"/>
      <c r="H141" s="53"/>
      <c r="I141" s="52"/>
      <c r="J141" s="182"/>
      <c r="K141" s="135"/>
      <c r="L141" s="127">
        <v>2</v>
      </c>
      <c r="M141" s="127">
        <v>7</v>
      </c>
      <c r="N141" s="127">
        <f t="shared" si="74"/>
        <v>20</v>
      </c>
      <c r="O141" s="127"/>
      <c r="P141" s="127"/>
      <c r="Q141" s="127"/>
      <c r="R141" s="128">
        <f t="shared" si="75"/>
        <v>29</v>
      </c>
      <c r="T141" s="285">
        <v>17250</v>
      </c>
      <c r="U141" s="285">
        <v>6800</v>
      </c>
      <c r="V141" s="285">
        <f t="shared" si="76"/>
        <v>0</v>
      </c>
      <c r="W141" s="287"/>
      <c r="X141" s="287"/>
      <c r="Y141" s="285"/>
      <c r="Z141" s="286">
        <f t="shared" si="77"/>
        <v>24050</v>
      </c>
      <c r="AB141" s="62" t="s">
        <v>356</v>
      </c>
      <c r="AC141" s="130">
        <v>6</v>
      </c>
      <c r="AD141" s="62" t="s">
        <v>356</v>
      </c>
      <c r="AE141" s="130">
        <v>9</v>
      </c>
      <c r="AF141" s="62" t="str">
        <f t="shared" si="78"/>
        <v>-</v>
      </c>
      <c r="AG141" s="130" t="str">
        <f t="shared" si="79"/>
        <v>-</v>
      </c>
      <c r="AH141" s="62"/>
      <c r="AI141" s="63"/>
      <c r="AJ141" s="130"/>
      <c r="AK141" s="130"/>
      <c r="AL141" s="62"/>
      <c r="AM141" s="63"/>
      <c r="AO141" s="73">
        <f t="shared" si="80"/>
        <v>2</v>
      </c>
      <c r="AP141" s="73">
        <f t="shared" si="81"/>
        <v>9</v>
      </c>
      <c r="AQ141" s="73">
        <f t="shared" si="82"/>
        <v>20</v>
      </c>
      <c r="AR141" s="73" t="str">
        <f t="shared" si="83"/>
        <v>Kevés v.</v>
      </c>
      <c r="AT141" s="273" t="str">
        <f t="shared" si="84"/>
        <v/>
      </c>
      <c r="AU141" s="273" t="str">
        <f t="shared" si="85"/>
        <v/>
      </c>
      <c r="AV141" s="273" t="str">
        <f t="shared" si="88"/>
        <v/>
      </c>
      <c r="AW141" s="273" t="str">
        <f t="shared" si="87"/>
        <v/>
      </c>
      <c r="AX141" s="274"/>
      <c r="AY141" s="313">
        <f t="shared" si="86"/>
        <v>0</v>
      </c>
    </row>
    <row r="142" spans="1:51" x14ac:dyDescent="0.3">
      <c r="A142" s="68">
        <v>104</v>
      </c>
      <c r="B142" s="339" t="s">
        <v>321</v>
      </c>
      <c r="C142" s="250" t="s">
        <v>144</v>
      </c>
      <c r="D142" s="143" t="s">
        <v>113</v>
      </c>
      <c r="E142" s="142" t="s">
        <v>103</v>
      </c>
      <c r="F142" s="145"/>
      <c r="G142" s="66"/>
      <c r="H142" s="53"/>
      <c r="I142" s="52"/>
      <c r="J142" s="182"/>
      <c r="K142" s="135"/>
      <c r="L142" s="127">
        <v>3</v>
      </c>
      <c r="M142" s="127">
        <v>20</v>
      </c>
      <c r="N142" s="127">
        <f t="shared" si="74"/>
        <v>20</v>
      </c>
      <c r="O142" s="127"/>
      <c r="P142" s="127"/>
      <c r="Q142" s="127"/>
      <c r="R142" s="128">
        <f t="shared" si="75"/>
        <v>43</v>
      </c>
      <c r="T142" s="285">
        <v>13875</v>
      </c>
      <c r="U142" s="285">
        <v>0</v>
      </c>
      <c r="V142" s="285">
        <f t="shared" si="76"/>
        <v>0</v>
      </c>
      <c r="W142" s="287"/>
      <c r="X142" s="287"/>
      <c r="Y142" s="285"/>
      <c r="Z142" s="286">
        <f t="shared" si="77"/>
        <v>13875</v>
      </c>
      <c r="AB142" s="62" t="s">
        <v>356</v>
      </c>
      <c r="AC142" s="130">
        <v>5</v>
      </c>
      <c r="AD142" s="62" t="s">
        <v>185</v>
      </c>
      <c r="AE142" s="130" t="s">
        <v>185</v>
      </c>
      <c r="AF142" s="62" t="str">
        <f t="shared" si="78"/>
        <v>-</v>
      </c>
      <c r="AG142" s="130" t="str">
        <f t="shared" si="79"/>
        <v>-</v>
      </c>
      <c r="AH142" s="62"/>
      <c r="AI142" s="63"/>
      <c r="AJ142" s="130"/>
      <c r="AK142" s="130"/>
      <c r="AL142" s="62"/>
      <c r="AM142" s="63"/>
      <c r="AO142" s="73">
        <f t="shared" si="80"/>
        <v>1</v>
      </c>
      <c r="AP142" s="73">
        <f t="shared" si="81"/>
        <v>3</v>
      </c>
      <c r="AQ142" s="73">
        <f t="shared" si="82"/>
        <v>20</v>
      </c>
      <c r="AR142" s="73" t="str">
        <f t="shared" si="83"/>
        <v>Kevés v.</v>
      </c>
      <c r="AT142" s="273" t="str">
        <f t="shared" si="84"/>
        <v/>
      </c>
      <c r="AU142" s="273" t="str">
        <f t="shared" si="85"/>
        <v/>
      </c>
      <c r="AV142" s="273" t="str">
        <f t="shared" si="88"/>
        <v/>
      </c>
      <c r="AW142" s="273" t="str">
        <f t="shared" si="87"/>
        <v/>
      </c>
      <c r="AX142" s="274"/>
      <c r="AY142" s="313">
        <f t="shared" si="86"/>
        <v>0</v>
      </c>
    </row>
    <row r="143" spans="1:51" x14ac:dyDescent="0.3">
      <c r="A143" s="68">
        <v>105</v>
      </c>
      <c r="B143" s="340" t="s">
        <v>322</v>
      </c>
      <c r="C143" s="141" t="s">
        <v>323</v>
      </c>
      <c r="D143" s="143" t="s">
        <v>113</v>
      </c>
      <c r="E143" s="142" t="s">
        <v>108</v>
      </c>
      <c r="F143" s="145"/>
      <c r="G143" s="66"/>
      <c r="H143" s="53"/>
      <c r="I143" s="52"/>
      <c r="J143" s="182"/>
      <c r="K143" s="135"/>
      <c r="L143" s="127">
        <v>3</v>
      </c>
      <c r="M143" s="127">
        <v>20</v>
      </c>
      <c r="N143" s="127">
        <f t="shared" si="74"/>
        <v>20</v>
      </c>
      <c r="O143" s="127"/>
      <c r="P143" s="127"/>
      <c r="Q143" s="127"/>
      <c r="R143" s="128">
        <f t="shared" si="75"/>
        <v>43</v>
      </c>
      <c r="T143" s="285">
        <v>10025</v>
      </c>
      <c r="U143" s="285">
        <v>0</v>
      </c>
      <c r="V143" s="285">
        <f t="shared" si="76"/>
        <v>0</v>
      </c>
      <c r="W143" s="287"/>
      <c r="X143" s="287"/>
      <c r="Y143" s="285"/>
      <c r="Z143" s="286">
        <f t="shared" si="77"/>
        <v>10025</v>
      </c>
      <c r="AB143" s="62" t="s">
        <v>360</v>
      </c>
      <c r="AC143" s="130">
        <v>5</v>
      </c>
      <c r="AD143" s="62" t="s">
        <v>185</v>
      </c>
      <c r="AE143" s="130" t="s">
        <v>185</v>
      </c>
      <c r="AF143" s="62" t="str">
        <f t="shared" si="78"/>
        <v>-</v>
      </c>
      <c r="AG143" s="130" t="str">
        <f t="shared" si="79"/>
        <v>-</v>
      </c>
      <c r="AH143" s="62"/>
      <c r="AI143" s="63"/>
      <c r="AJ143" s="130"/>
      <c r="AK143" s="130"/>
      <c r="AL143" s="62"/>
      <c r="AM143" s="63"/>
      <c r="AO143" s="73">
        <f t="shared" si="80"/>
        <v>1</v>
      </c>
      <c r="AP143" s="73">
        <f t="shared" si="81"/>
        <v>3</v>
      </c>
      <c r="AQ143" s="73">
        <f t="shared" si="82"/>
        <v>20</v>
      </c>
      <c r="AR143" s="73" t="str">
        <f t="shared" si="83"/>
        <v>Kevés v.</v>
      </c>
      <c r="AT143" s="273" t="str">
        <f t="shared" si="84"/>
        <v/>
      </c>
      <c r="AU143" s="273" t="str">
        <f t="shared" si="85"/>
        <v/>
      </c>
      <c r="AV143" s="273" t="str">
        <f t="shared" si="88"/>
        <v/>
      </c>
      <c r="AW143" s="273" t="str">
        <f t="shared" si="87"/>
        <v/>
      </c>
      <c r="AX143" s="274"/>
      <c r="AY143" s="313">
        <f t="shared" si="86"/>
        <v>0</v>
      </c>
    </row>
    <row r="144" spans="1:51" x14ac:dyDescent="0.3">
      <c r="A144" s="68">
        <v>113</v>
      </c>
      <c r="B144" s="341" t="s">
        <v>332</v>
      </c>
      <c r="C144" s="47" t="s">
        <v>144</v>
      </c>
      <c r="D144" s="70" t="s">
        <v>9</v>
      </c>
      <c r="E144" s="69" t="s">
        <v>103</v>
      </c>
      <c r="F144" s="145"/>
      <c r="G144" s="66"/>
      <c r="H144" s="53"/>
      <c r="I144" s="52"/>
      <c r="J144" s="182"/>
      <c r="K144" s="135"/>
      <c r="L144" s="127">
        <v>8</v>
      </c>
      <c r="M144" s="127">
        <v>20</v>
      </c>
      <c r="N144" s="127">
        <f t="shared" si="74"/>
        <v>20</v>
      </c>
      <c r="O144" s="127"/>
      <c r="P144" s="127"/>
      <c r="Q144" s="127"/>
      <c r="R144" s="128">
        <f t="shared" si="75"/>
        <v>48</v>
      </c>
      <c r="T144" s="285">
        <v>14375</v>
      </c>
      <c r="U144" s="285">
        <v>0</v>
      </c>
      <c r="V144" s="285">
        <f t="shared" si="76"/>
        <v>0</v>
      </c>
      <c r="W144" s="287"/>
      <c r="X144" s="287"/>
      <c r="Y144" s="285"/>
      <c r="Z144" s="286">
        <f t="shared" si="77"/>
        <v>14375</v>
      </c>
      <c r="AB144" s="62" t="s">
        <v>362</v>
      </c>
      <c r="AC144" s="130">
        <v>12</v>
      </c>
      <c r="AD144" s="62" t="s">
        <v>185</v>
      </c>
      <c r="AE144" s="130" t="s">
        <v>185</v>
      </c>
      <c r="AF144" s="62" t="str">
        <f t="shared" si="78"/>
        <v>-</v>
      </c>
      <c r="AG144" s="130" t="str">
        <f t="shared" si="79"/>
        <v>-</v>
      </c>
      <c r="AH144" s="62"/>
      <c r="AI144" s="63"/>
      <c r="AJ144" s="130"/>
      <c r="AK144" s="130"/>
      <c r="AL144" s="62"/>
      <c r="AM144" s="63"/>
      <c r="AO144" s="73">
        <f t="shared" si="80"/>
        <v>1</v>
      </c>
      <c r="AP144" s="73">
        <f t="shared" si="81"/>
        <v>8</v>
      </c>
      <c r="AQ144" s="73">
        <f t="shared" si="82"/>
        <v>20</v>
      </c>
      <c r="AR144" s="73" t="str">
        <f t="shared" si="83"/>
        <v>Kevés v.</v>
      </c>
      <c r="AT144" s="273" t="str">
        <f t="shared" si="84"/>
        <v/>
      </c>
      <c r="AU144" s="273" t="str">
        <f t="shared" si="85"/>
        <v/>
      </c>
      <c r="AV144" s="273" t="str">
        <f t="shared" si="88"/>
        <v/>
      </c>
      <c r="AW144" s="273" t="str">
        <f t="shared" si="87"/>
        <v/>
      </c>
      <c r="AX144" s="274"/>
      <c r="AY144" s="313">
        <f t="shared" si="86"/>
        <v>0</v>
      </c>
    </row>
    <row r="145" spans="1:51" x14ac:dyDescent="0.3">
      <c r="A145" s="71">
        <v>117</v>
      </c>
      <c r="B145" s="336" t="s">
        <v>337</v>
      </c>
      <c r="C145" s="47" t="s">
        <v>338</v>
      </c>
      <c r="D145" s="143" t="s">
        <v>192</v>
      </c>
      <c r="E145" s="69" t="s">
        <v>10</v>
      </c>
      <c r="F145" s="145"/>
      <c r="G145" s="66"/>
      <c r="H145" s="53"/>
      <c r="I145" s="52"/>
      <c r="J145" s="182"/>
      <c r="K145" s="135"/>
      <c r="L145" s="127">
        <v>3</v>
      </c>
      <c r="M145" s="127">
        <v>3</v>
      </c>
      <c r="N145" s="127">
        <f t="shared" si="74"/>
        <v>20</v>
      </c>
      <c r="O145" s="127"/>
      <c r="P145" s="127"/>
      <c r="Q145" s="127"/>
      <c r="R145" s="128">
        <f t="shared" si="75"/>
        <v>26</v>
      </c>
      <c r="T145" s="285">
        <v>3350</v>
      </c>
      <c r="U145" s="285">
        <v>5575</v>
      </c>
      <c r="V145" s="285">
        <f t="shared" si="76"/>
        <v>0</v>
      </c>
      <c r="W145" s="287"/>
      <c r="X145" s="287"/>
      <c r="Y145" s="285"/>
      <c r="Z145" s="286">
        <f t="shared" si="77"/>
        <v>8925</v>
      </c>
      <c r="AB145" s="62" t="s">
        <v>363</v>
      </c>
      <c r="AC145" s="130">
        <v>2</v>
      </c>
      <c r="AD145" s="62" t="s">
        <v>352</v>
      </c>
      <c r="AE145" s="130">
        <v>7</v>
      </c>
      <c r="AF145" s="62" t="str">
        <f t="shared" si="78"/>
        <v>-</v>
      </c>
      <c r="AG145" s="130" t="str">
        <f t="shared" si="79"/>
        <v>-</v>
      </c>
      <c r="AH145" s="62"/>
      <c r="AI145" s="63"/>
      <c r="AJ145" s="130"/>
      <c r="AK145" s="130"/>
      <c r="AL145" s="62"/>
      <c r="AM145" s="63"/>
      <c r="AO145" s="73">
        <f t="shared" si="80"/>
        <v>2</v>
      </c>
      <c r="AP145" s="73">
        <f t="shared" si="81"/>
        <v>6</v>
      </c>
      <c r="AQ145" s="73">
        <f t="shared" si="82"/>
        <v>20</v>
      </c>
      <c r="AR145" s="73" t="str">
        <f t="shared" si="83"/>
        <v>Kevés v.</v>
      </c>
      <c r="AT145" s="273" t="str">
        <f t="shared" si="84"/>
        <v/>
      </c>
      <c r="AU145" s="273" t="str">
        <f t="shared" si="85"/>
        <v/>
      </c>
      <c r="AV145" s="273" t="s">
        <v>369</v>
      </c>
      <c r="AW145" s="273" t="str">
        <f t="shared" si="87"/>
        <v/>
      </c>
      <c r="AX145" s="274"/>
      <c r="AY145" s="313">
        <f t="shared" si="86"/>
        <v>0</v>
      </c>
    </row>
    <row r="146" spans="1:51" x14ac:dyDescent="0.3">
      <c r="A146" s="71">
        <v>119</v>
      </c>
      <c r="B146" s="341" t="s">
        <v>341</v>
      </c>
      <c r="C146" s="249" t="s">
        <v>342</v>
      </c>
      <c r="D146" s="70" t="s">
        <v>113</v>
      </c>
      <c r="E146" s="69" t="s">
        <v>103</v>
      </c>
      <c r="F146" s="145"/>
      <c r="G146" s="66"/>
      <c r="H146" s="53"/>
      <c r="I146" s="52"/>
      <c r="J146" s="182"/>
      <c r="K146" s="135"/>
      <c r="L146" s="127">
        <v>9</v>
      </c>
      <c r="M146" s="127">
        <v>20</v>
      </c>
      <c r="N146" s="127">
        <f t="shared" si="74"/>
        <v>20</v>
      </c>
      <c r="O146" s="127"/>
      <c r="P146" s="127"/>
      <c r="Q146" s="127"/>
      <c r="R146" s="128">
        <f t="shared" si="75"/>
        <v>49</v>
      </c>
      <c r="T146" s="285">
        <v>1550</v>
      </c>
      <c r="U146" s="285">
        <v>0</v>
      </c>
      <c r="V146" s="285">
        <f t="shared" si="76"/>
        <v>0</v>
      </c>
      <c r="W146" s="287"/>
      <c r="X146" s="287"/>
      <c r="Y146" s="285"/>
      <c r="Z146" s="286">
        <f t="shared" si="77"/>
        <v>1550</v>
      </c>
      <c r="AB146" s="62" t="s">
        <v>360</v>
      </c>
      <c r="AC146" s="130">
        <v>8</v>
      </c>
      <c r="AD146" s="62" t="s">
        <v>185</v>
      </c>
      <c r="AE146" s="130" t="s">
        <v>185</v>
      </c>
      <c r="AF146" s="62" t="str">
        <f t="shared" si="78"/>
        <v>-</v>
      </c>
      <c r="AG146" s="130" t="str">
        <f t="shared" si="79"/>
        <v>-</v>
      </c>
      <c r="AH146" s="62"/>
      <c r="AI146" s="63"/>
      <c r="AJ146" s="130"/>
      <c r="AK146" s="130"/>
      <c r="AL146" s="62"/>
      <c r="AM146" s="63"/>
      <c r="AO146" s="73">
        <f t="shared" si="80"/>
        <v>1</v>
      </c>
      <c r="AP146" s="73">
        <f t="shared" si="81"/>
        <v>9</v>
      </c>
      <c r="AQ146" s="73">
        <f t="shared" si="82"/>
        <v>20</v>
      </c>
      <c r="AR146" s="73" t="str">
        <f t="shared" si="83"/>
        <v>Kevés v.</v>
      </c>
      <c r="AT146" s="273" t="str">
        <f t="shared" si="84"/>
        <v/>
      </c>
      <c r="AU146" s="273" t="str">
        <f t="shared" si="85"/>
        <v/>
      </c>
      <c r="AV146" s="273" t="str">
        <f t="shared" ref="AV146:AV177" si="89">IF(F146=6,IF(E146="felnőtt",41500,IF(E146="ifjúsági",33000,IF(E146="női",33000,IF(E146="gyermek",5000,"")))),"")</f>
        <v/>
      </c>
      <c r="AW146" s="273" t="str">
        <f t="shared" si="87"/>
        <v/>
      </c>
      <c r="AX146" s="274"/>
      <c r="AY146" s="313">
        <f t="shared" si="86"/>
        <v>0</v>
      </c>
    </row>
    <row r="147" spans="1:51" x14ac:dyDescent="0.3">
      <c r="A147" s="71">
        <v>121</v>
      </c>
      <c r="B147" s="341" t="s">
        <v>345</v>
      </c>
      <c r="C147" s="249" t="s">
        <v>346</v>
      </c>
      <c r="D147" s="70" t="s">
        <v>9</v>
      </c>
      <c r="E147" s="69" t="s">
        <v>103</v>
      </c>
      <c r="F147" s="145"/>
      <c r="G147" s="66"/>
      <c r="H147" s="53"/>
      <c r="I147" s="52"/>
      <c r="J147" s="182"/>
      <c r="K147" s="135"/>
      <c r="L147" s="127">
        <v>9</v>
      </c>
      <c r="M147" s="127">
        <v>20</v>
      </c>
      <c r="N147" s="127">
        <f t="shared" si="74"/>
        <v>20</v>
      </c>
      <c r="O147" s="127"/>
      <c r="P147" s="127"/>
      <c r="Q147" s="127"/>
      <c r="R147" s="128">
        <f t="shared" si="75"/>
        <v>49</v>
      </c>
      <c r="T147" s="285">
        <v>12525</v>
      </c>
      <c r="U147" s="285">
        <v>0</v>
      </c>
      <c r="V147" s="285">
        <f t="shared" si="76"/>
        <v>0</v>
      </c>
      <c r="W147" s="287"/>
      <c r="X147" s="287"/>
      <c r="Y147" s="285"/>
      <c r="Z147" s="286">
        <f t="shared" si="77"/>
        <v>12525</v>
      </c>
      <c r="AB147" s="62" t="s">
        <v>362</v>
      </c>
      <c r="AC147" s="130">
        <v>6</v>
      </c>
      <c r="AD147" s="62" t="s">
        <v>185</v>
      </c>
      <c r="AE147" s="130" t="s">
        <v>185</v>
      </c>
      <c r="AF147" s="62" t="str">
        <f t="shared" si="78"/>
        <v>-</v>
      </c>
      <c r="AG147" s="130" t="str">
        <f t="shared" si="79"/>
        <v>-</v>
      </c>
      <c r="AH147" s="62"/>
      <c r="AI147" s="63"/>
      <c r="AJ147" s="130"/>
      <c r="AK147" s="130"/>
      <c r="AL147" s="62"/>
      <c r="AM147" s="63"/>
      <c r="AO147" s="73">
        <f t="shared" si="80"/>
        <v>1</v>
      </c>
      <c r="AP147" s="73">
        <f t="shared" si="81"/>
        <v>9</v>
      </c>
      <c r="AQ147" s="73">
        <f t="shared" si="82"/>
        <v>20</v>
      </c>
      <c r="AR147" s="73" t="str">
        <f t="shared" si="83"/>
        <v>Kevés v.</v>
      </c>
      <c r="AT147" s="273" t="str">
        <f t="shared" si="84"/>
        <v/>
      </c>
      <c r="AU147" s="273" t="str">
        <f t="shared" si="85"/>
        <v/>
      </c>
      <c r="AV147" s="273" t="str">
        <f t="shared" si="89"/>
        <v/>
      </c>
      <c r="AW147" s="273" t="str">
        <f t="shared" si="87"/>
        <v/>
      </c>
      <c r="AX147" s="274"/>
      <c r="AY147" s="313">
        <f t="shared" si="86"/>
        <v>0</v>
      </c>
    </row>
    <row r="148" spans="1:51" x14ac:dyDescent="0.3">
      <c r="A148" s="71">
        <v>124</v>
      </c>
      <c r="B148" s="341" t="s">
        <v>370</v>
      </c>
      <c r="C148" s="249" t="s">
        <v>371</v>
      </c>
      <c r="D148" s="70" t="s">
        <v>116</v>
      </c>
      <c r="E148" s="69" t="s">
        <v>103</v>
      </c>
      <c r="F148" s="145"/>
      <c r="G148" s="66"/>
      <c r="H148" s="53"/>
      <c r="I148" s="52"/>
      <c r="J148" s="182"/>
      <c r="K148" s="135"/>
      <c r="L148" s="127">
        <v>20</v>
      </c>
      <c r="M148" s="127">
        <v>5</v>
      </c>
      <c r="N148" s="127">
        <f t="shared" si="74"/>
        <v>20</v>
      </c>
      <c r="O148" s="127"/>
      <c r="P148" s="127"/>
      <c r="Q148" s="127"/>
      <c r="R148" s="128">
        <f t="shared" si="75"/>
        <v>45</v>
      </c>
      <c r="T148" s="285">
        <v>0</v>
      </c>
      <c r="U148" s="285">
        <v>13225</v>
      </c>
      <c r="V148" s="285">
        <f t="shared" si="76"/>
        <v>0</v>
      </c>
      <c r="W148" s="287"/>
      <c r="X148" s="287"/>
      <c r="Y148" s="285"/>
      <c r="Z148" s="286">
        <f t="shared" si="77"/>
        <v>13225</v>
      </c>
      <c r="AB148" s="62" t="s">
        <v>185</v>
      </c>
      <c r="AC148" s="130" t="s">
        <v>185</v>
      </c>
      <c r="AD148" s="62" t="s">
        <v>360</v>
      </c>
      <c r="AE148" s="130">
        <v>10</v>
      </c>
      <c r="AF148" s="62" t="str">
        <f t="shared" si="78"/>
        <v>-</v>
      </c>
      <c r="AG148" s="130" t="str">
        <f t="shared" si="79"/>
        <v>-</v>
      </c>
      <c r="AH148" s="62"/>
      <c r="AI148" s="63"/>
      <c r="AJ148" s="130"/>
      <c r="AK148" s="130"/>
      <c r="AL148" s="62"/>
      <c r="AM148" s="63"/>
      <c r="AO148" s="73">
        <f t="shared" si="80"/>
        <v>1</v>
      </c>
      <c r="AP148" s="73">
        <f t="shared" si="81"/>
        <v>5</v>
      </c>
      <c r="AQ148" s="73">
        <f t="shared" si="82"/>
        <v>20</v>
      </c>
      <c r="AR148" s="73" t="str">
        <f t="shared" si="83"/>
        <v>Kevés v.</v>
      </c>
      <c r="AT148" s="273" t="str">
        <f t="shared" si="84"/>
        <v/>
      </c>
      <c r="AU148" s="273" t="str">
        <f t="shared" si="85"/>
        <v/>
      </c>
      <c r="AV148" s="273" t="str">
        <f t="shared" si="89"/>
        <v/>
      </c>
      <c r="AW148" s="273" t="str">
        <f t="shared" si="87"/>
        <v/>
      </c>
      <c r="AX148" s="274"/>
      <c r="AY148" s="313">
        <f t="shared" si="86"/>
        <v>0</v>
      </c>
    </row>
    <row r="149" spans="1:51" x14ac:dyDescent="0.3">
      <c r="A149" s="71">
        <v>125</v>
      </c>
      <c r="B149" s="341" t="s">
        <v>372</v>
      </c>
      <c r="C149" s="47" t="s">
        <v>371</v>
      </c>
      <c r="D149" s="70" t="s">
        <v>116</v>
      </c>
      <c r="E149" s="69" t="s">
        <v>103</v>
      </c>
      <c r="F149" s="145"/>
      <c r="G149" s="66"/>
      <c r="H149" s="53"/>
      <c r="I149" s="52"/>
      <c r="J149" s="182"/>
      <c r="K149" s="135"/>
      <c r="L149" s="127">
        <v>20</v>
      </c>
      <c r="M149" s="127">
        <v>7</v>
      </c>
      <c r="N149" s="127">
        <f t="shared" si="74"/>
        <v>20</v>
      </c>
      <c r="O149" s="127"/>
      <c r="P149" s="127"/>
      <c r="Q149" s="127"/>
      <c r="R149" s="128">
        <f t="shared" si="75"/>
        <v>47</v>
      </c>
      <c r="T149" s="285">
        <v>0</v>
      </c>
      <c r="U149" s="285">
        <v>6850</v>
      </c>
      <c r="V149" s="285">
        <f t="shared" si="76"/>
        <v>0</v>
      </c>
      <c r="W149" s="287"/>
      <c r="X149" s="287"/>
      <c r="Y149" s="285"/>
      <c r="Z149" s="286">
        <f t="shared" si="77"/>
        <v>6850</v>
      </c>
      <c r="AB149" s="62" t="s">
        <v>185</v>
      </c>
      <c r="AC149" s="130" t="s">
        <v>185</v>
      </c>
      <c r="AD149" s="62" t="s">
        <v>355</v>
      </c>
      <c r="AE149" s="130">
        <v>11</v>
      </c>
      <c r="AF149" s="62" t="str">
        <f t="shared" si="78"/>
        <v>-</v>
      </c>
      <c r="AG149" s="130" t="str">
        <f t="shared" si="79"/>
        <v>-</v>
      </c>
      <c r="AH149" s="62"/>
      <c r="AI149" s="63"/>
      <c r="AJ149" s="130"/>
      <c r="AK149" s="130"/>
      <c r="AL149" s="62"/>
      <c r="AM149" s="63"/>
      <c r="AO149" s="73">
        <f t="shared" si="80"/>
        <v>1</v>
      </c>
      <c r="AP149" s="73">
        <f t="shared" si="81"/>
        <v>7</v>
      </c>
      <c r="AQ149" s="73">
        <f t="shared" si="82"/>
        <v>20</v>
      </c>
      <c r="AR149" s="73" t="str">
        <f t="shared" si="83"/>
        <v>Kevés v.</v>
      </c>
      <c r="AT149" s="273" t="str">
        <f t="shared" si="84"/>
        <v/>
      </c>
      <c r="AU149" s="273" t="str">
        <f t="shared" si="85"/>
        <v/>
      </c>
      <c r="AV149" s="273" t="str">
        <f t="shared" si="89"/>
        <v/>
      </c>
      <c r="AW149" s="273" t="str">
        <f t="shared" si="87"/>
        <v/>
      </c>
      <c r="AX149" s="274"/>
      <c r="AY149" s="313">
        <f t="shared" si="86"/>
        <v>0</v>
      </c>
    </row>
    <row r="150" spans="1:51" x14ac:dyDescent="0.3">
      <c r="A150" s="71">
        <v>126</v>
      </c>
      <c r="B150" s="341" t="s">
        <v>373</v>
      </c>
      <c r="C150" s="47" t="s">
        <v>374</v>
      </c>
      <c r="D150" s="70" t="s">
        <v>116</v>
      </c>
      <c r="E150" s="69" t="s">
        <v>103</v>
      </c>
      <c r="F150" s="145"/>
      <c r="G150" s="66"/>
      <c r="H150" s="53"/>
      <c r="I150" s="52"/>
      <c r="J150" s="182"/>
      <c r="K150" s="135"/>
      <c r="L150" s="127">
        <v>20</v>
      </c>
      <c r="M150" s="127">
        <v>2</v>
      </c>
      <c r="N150" s="127">
        <f t="shared" si="74"/>
        <v>20</v>
      </c>
      <c r="O150" s="127"/>
      <c r="P150" s="127"/>
      <c r="Q150" s="127"/>
      <c r="R150" s="128">
        <f t="shared" si="75"/>
        <v>42</v>
      </c>
      <c r="T150" s="285">
        <v>0</v>
      </c>
      <c r="U150" s="285">
        <v>22500</v>
      </c>
      <c r="V150" s="285">
        <f t="shared" si="76"/>
        <v>0</v>
      </c>
      <c r="W150" s="287"/>
      <c r="X150" s="287"/>
      <c r="Y150" s="285"/>
      <c r="Z150" s="286">
        <f t="shared" si="77"/>
        <v>22500</v>
      </c>
      <c r="AB150" s="62" t="s">
        <v>185</v>
      </c>
      <c r="AC150" s="130" t="s">
        <v>185</v>
      </c>
      <c r="AD150" s="62" t="s">
        <v>360</v>
      </c>
      <c r="AE150" s="130">
        <v>11</v>
      </c>
      <c r="AF150" s="62" t="str">
        <f t="shared" si="78"/>
        <v>-</v>
      </c>
      <c r="AG150" s="130" t="str">
        <f t="shared" si="79"/>
        <v>-</v>
      </c>
      <c r="AH150" s="62"/>
      <c r="AI150" s="63"/>
      <c r="AJ150" s="130"/>
      <c r="AK150" s="130"/>
      <c r="AL150" s="62"/>
      <c r="AM150" s="63"/>
      <c r="AO150" s="73">
        <f t="shared" si="80"/>
        <v>1</v>
      </c>
      <c r="AP150" s="73">
        <f t="shared" si="81"/>
        <v>2</v>
      </c>
      <c r="AQ150" s="73">
        <f t="shared" si="82"/>
        <v>20</v>
      </c>
      <c r="AR150" s="73" t="str">
        <f t="shared" si="83"/>
        <v>Kevés v.</v>
      </c>
      <c r="AT150" s="273" t="str">
        <f t="shared" si="84"/>
        <v/>
      </c>
      <c r="AU150" s="273" t="str">
        <f t="shared" si="85"/>
        <v/>
      </c>
      <c r="AV150" s="273" t="str">
        <f t="shared" si="89"/>
        <v/>
      </c>
      <c r="AW150" s="273" t="str">
        <f t="shared" si="87"/>
        <v/>
      </c>
      <c r="AX150" s="274"/>
      <c r="AY150" s="313">
        <f t="shared" si="86"/>
        <v>0</v>
      </c>
    </row>
    <row r="151" spans="1:51" x14ac:dyDescent="0.3">
      <c r="A151" s="71">
        <v>127</v>
      </c>
      <c r="B151" s="341" t="s">
        <v>375</v>
      </c>
      <c r="C151" s="249" t="s">
        <v>376</v>
      </c>
      <c r="D151" s="70" t="s">
        <v>116</v>
      </c>
      <c r="E151" s="69" t="s">
        <v>103</v>
      </c>
      <c r="F151" s="145"/>
      <c r="G151" s="66"/>
      <c r="H151" s="53"/>
      <c r="I151" s="52"/>
      <c r="J151" s="182"/>
      <c r="K151" s="135"/>
      <c r="L151" s="127">
        <v>20</v>
      </c>
      <c r="M151" s="127">
        <v>14</v>
      </c>
      <c r="N151" s="127">
        <f t="shared" si="74"/>
        <v>20</v>
      </c>
      <c r="O151" s="127"/>
      <c r="P151" s="127"/>
      <c r="Q151" s="127"/>
      <c r="R151" s="128">
        <f t="shared" si="75"/>
        <v>54</v>
      </c>
      <c r="T151" s="285">
        <v>0</v>
      </c>
      <c r="U151" s="285">
        <v>0</v>
      </c>
      <c r="V151" s="285">
        <f t="shared" si="76"/>
        <v>0</v>
      </c>
      <c r="W151" s="287"/>
      <c r="X151" s="287"/>
      <c r="Y151" s="285"/>
      <c r="Z151" s="286">
        <f t="shared" si="77"/>
        <v>0</v>
      </c>
      <c r="AB151" s="62" t="s">
        <v>185</v>
      </c>
      <c r="AC151" s="130" t="s">
        <v>185</v>
      </c>
      <c r="AD151" s="62" t="s">
        <v>355</v>
      </c>
      <c r="AE151" s="130">
        <v>8</v>
      </c>
      <c r="AF151" s="62" t="str">
        <f t="shared" si="78"/>
        <v>-</v>
      </c>
      <c r="AG151" s="130" t="str">
        <f t="shared" si="79"/>
        <v>-</v>
      </c>
      <c r="AH151" s="62"/>
      <c r="AI151" s="63"/>
      <c r="AJ151" s="130"/>
      <c r="AK151" s="130"/>
      <c r="AL151" s="62"/>
      <c r="AM151" s="63"/>
      <c r="AO151" s="73">
        <f t="shared" si="80"/>
        <v>1</v>
      </c>
      <c r="AP151" s="73">
        <f t="shared" si="81"/>
        <v>14</v>
      </c>
      <c r="AQ151" s="73">
        <f t="shared" si="82"/>
        <v>20</v>
      </c>
      <c r="AR151" s="73" t="str">
        <f t="shared" si="83"/>
        <v>Kevés v.</v>
      </c>
      <c r="AT151" s="273" t="str">
        <f t="shared" si="84"/>
        <v/>
      </c>
      <c r="AU151" s="273" t="str">
        <f t="shared" si="85"/>
        <v/>
      </c>
      <c r="AV151" s="273" t="str">
        <f t="shared" si="89"/>
        <v/>
      </c>
      <c r="AW151" s="273" t="str">
        <f t="shared" si="87"/>
        <v/>
      </c>
      <c r="AX151" s="274"/>
      <c r="AY151" s="313">
        <f t="shared" si="86"/>
        <v>0</v>
      </c>
    </row>
    <row r="152" spans="1:51" x14ac:dyDescent="0.3">
      <c r="A152" s="71">
        <v>128</v>
      </c>
      <c r="B152" s="341" t="s">
        <v>377</v>
      </c>
      <c r="C152" s="249" t="s">
        <v>378</v>
      </c>
      <c r="D152" s="70" t="s">
        <v>116</v>
      </c>
      <c r="E152" s="69" t="s">
        <v>103</v>
      </c>
      <c r="F152" s="145"/>
      <c r="G152" s="66"/>
      <c r="H152" s="53"/>
      <c r="I152" s="52"/>
      <c r="J152" s="182"/>
      <c r="K152" s="135"/>
      <c r="L152" s="127">
        <v>20</v>
      </c>
      <c r="M152" s="127">
        <v>1</v>
      </c>
      <c r="N152" s="127">
        <f t="shared" si="74"/>
        <v>20</v>
      </c>
      <c r="O152" s="127"/>
      <c r="P152" s="127"/>
      <c r="Q152" s="127"/>
      <c r="R152" s="128">
        <f t="shared" si="75"/>
        <v>41</v>
      </c>
      <c r="T152" s="285">
        <v>0</v>
      </c>
      <c r="U152" s="285">
        <v>26900</v>
      </c>
      <c r="V152" s="285">
        <f t="shared" si="76"/>
        <v>0</v>
      </c>
      <c r="W152" s="287"/>
      <c r="X152" s="287"/>
      <c r="Y152" s="285"/>
      <c r="Z152" s="286">
        <f t="shared" si="77"/>
        <v>26900</v>
      </c>
      <c r="AB152" s="62" t="s">
        <v>185</v>
      </c>
      <c r="AC152" s="130" t="s">
        <v>185</v>
      </c>
      <c r="AD152" s="62" t="s">
        <v>355</v>
      </c>
      <c r="AE152" s="130">
        <v>6</v>
      </c>
      <c r="AF152" s="62" t="str">
        <f t="shared" si="78"/>
        <v>-</v>
      </c>
      <c r="AG152" s="130" t="str">
        <f t="shared" si="79"/>
        <v>-</v>
      </c>
      <c r="AH152" s="62"/>
      <c r="AI152" s="63"/>
      <c r="AJ152" s="130"/>
      <c r="AK152" s="130"/>
      <c r="AL152" s="62"/>
      <c r="AM152" s="63"/>
      <c r="AO152" s="73">
        <f t="shared" si="80"/>
        <v>1</v>
      </c>
      <c r="AP152" s="73">
        <f t="shared" si="81"/>
        <v>1</v>
      </c>
      <c r="AQ152" s="73">
        <f t="shared" si="82"/>
        <v>20</v>
      </c>
      <c r="AR152" s="73" t="str">
        <f t="shared" si="83"/>
        <v>Kevés v.</v>
      </c>
      <c r="AT152" s="273" t="str">
        <f t="shared" si="84"/>
        <v/>
      </c>
      <c r="AU152" s="273" t="str">
        <f t="shared" si="85"/>
        <v/>
      </c>
      <c r="AV152" s="273" t="str">
        <f t="shared" si="89"/>
        <v/>
      </c>
      <c r="AW152" s="273" t="str">
        <f t="shared" si="87"/>
        <v/>
      </c>
      <c r="AX152" s="274"/>
      <c r="AY152" s="313">
        <f t="shared" si="86"/>
        <v>0</v>
      </c>
    </row>
    <row r="153" spans="1:51" x14ac:dyDescent="0.3">
      <c r="A153" s="71">
        <v>129</v>
      </c>
      <c r="B153" s="341" t="s">
        <v>379</v>
      </c>
      <c r="C153" s="336" t="s">
        <v>380</v>
      </c>
      <c r="D153" s="337" t="s">
        <v>116</v>
      </c>
      <c r="E153" s="338" t="s">
        <v>103</v>
      </c>
      <c r="F153" s="145"/>
      <c r="G153" s="66"/>
      <c r="H153" s="53"/>
      <c r="I153" s="52"/>
      <c r="J153" s="182"/>
      <c r="K153" s="135"/>
      <c r="L153" s="127">
        <v>20</v>
      </c>
      <c r="M153" s="127">
        <v>20</v>
      </c>
      <c r="N153" s="127">
        <f t="shared" si="74"/>
        <v>20</v>
      </c>
      <c r="O153" s="127"/>
      <c r="P153" s="127"/>
      <c r="Q153" s="127"/>
      <c r="R153" s="128">
        <f t="shared" si="75"/>
        <v>60</v>
      </c>
      <c r="T153" s="285">
        <v>0</v>
      </c>
      <c r="U153" s="285">
        <v>0</v>
      </c>
      <c r="V153" s="285">
        <f t="shared" si="76"/>
        <v>0</v>
      </c>
      <c r="W153" s="287"/>
      <c r="X153" s="287"/>
      <c r="Y153" s="285"/>
      <c r="Z153" s="286">
        <f t="shared" si="77"/>
        <v>0</v>
      </c>
      <c r="AB153" s="62" t="s">
        <v>185</v>
      </c>
      <c r="AC153" s="130" t="s">
        <v>185</v>
      </c>
      <c r="AD153" s="62" t="s">
        <v>185</v>
      </c>
      <c r="AE153" s="130" t="s">
        <v>185</v>
      </c>
      <c r="AF153" s="62" t="str">
        <f t="shared" si="78"/>
        <v>-</v>
      </c>
      <c r="AG153" s="130" t="str">
        <f t="shared" si="79"/>
        <v>-</v>
      </c>
      <c r="AH153" s="62"/>
      <c r="AI153" s="63"/>
      <c r="AJ153" s="130"/>
      <c r="AK153" s="130"/>
      <c r="AL153" s="62"/>
      <c r="AM153" s="63"/>
      <c r="AO153" s="73">
        <f t="shared" si="80"/>
        <v>0</v>
      </c>
      <c r="AP153" s="73">
        <f t="shared" si="81"/>
        <v>0</v>
      </c>
      <c r="AQ153" s="73">
        <f t="shared" si="82"/>
        <v>20</v>
      </c>
      <c r="AR153" s="73" t="str">
        <f t="shared" si="83"/>
        <v>Kevés v.</v>
      </c>
      <c r="AT153" s="273" t="str">
        <f t="shared" si="84"/>
        <v/>
      </c>
      <c r="AU153" s="273" t="str">
        <f t="shared" si="85"/>
        <v/>
      </c>
      <c r="AV153" s="273" t="str">
        <f t="shared" si="89"/>
        <v/>
      </c>
      <c r="AW153" s="273" t="str">
        <f t="shared" si="87"/>
        <v/>
      </c>
      <c r="AX153" s="274"/>
      <c r="AY153" s="313">
        <f t="shared" si="86"/>
        <v>0</v>
      </c>
    </row>
    <row r="154" spans="1:51" x14ac:dyDescent="0.3">
      <c r="A154" s="71">
        <v>131</v>
      </c>
      <c r="B154" s="341" t="s">
        <v>382</v>
      </c>
      <c r="C154" s="249" t="s">
        <v>383</v>
      </c>
      <c r="D154" s="70" t="s">
        <v>113</v>
      </c>
      <c r="E154" s="69" t="s">
        <v>103</v>
      </c>
      <c r="F154" s="145"/>
      <c r="G154" s="66"/>
      <c r="H154" s="53"/>
      <c r="I154" s="52"/>
      <c r="J154" s="182"/>
      <c r="K154" s="135"/>
      <c r="L154" s="127">
        <v>20</v>
      </c>
      <c r="M154" s="127">
        <v>7</v>
      </c>
      <c r="N154" s="127">
        <f t="shared" si="74"/>
        <v>20</v>
      </c>
      <c r="O154" s="127"/>
      <c r="P154" s="127"/>
      <c r="Q154" s="127"/>
      <c r="R154" s="128">
        <f t="shared" si="75"/>
        <v>47</v>
      </c>
      <c r="T154" s="285">
        <v>0</v>
      </c>
      <c r="U154" s="285">
        <v>2975</v>
      </c>
      <c r="V154" s="285">
        <f t="shared" si="76"/>
        <v>0</v>
      </c>
      <c r="W154" s="287"/>
      <c r="X154" s="287"/>
      <c r="Y154" s="285"/>
      <c r="Z154" s="286">
        <f t="shared" si="77"/>
        <v>2975</v>
      </c>
      <c r="AB154" s="62" t="s">
        <v>185</v>
      </c>
      <c r="AC154" s="130" t="s">
        <v>185</v>
      </c>
      <c r="AD154" s="62" t="s">
        <v>359</v>
      </c>
      <c r="AE154" s="130">
        <v>6</v>
      </c>
      <c r="AF154" s="62" t="str">
        <f t="shared" si="78"/>
        <v>-</v>
      </c>
      <c r="AG154" s="130" t="str">
        <f t="shared" si="79"/>
        <v>-</v>
      </c>
      <c r="AH154" s="62"/>
      <c r="AI154" s="63"/>
      <c r="AJ154" s="130"/>
      <c r="AK154" s="130"/>
      <c r="AL154" s="62"/>
      <c r="AM154" s="63"/>
      <c r="AO154" s="73">
        <f t="shared" si="80"/>
        <v>1</v>
      </c>
      <c r="AP154" s="73">
        <f t="shared" si="81"/>
        <v>7</v>
      </c>
      <c r="AQ154" s="73">
        <f t="shared" si="82"/>
        <v>20</v>
      </c>
      <c r="AR154" s="73" t="str">
        <f t="shared" si="83"/>
        <v>Kevés v.</v>
      </c>
      <c r="AT154" s="273" t="str">
        <f t="shared" si="84"/>
        <v/>
      </c>
      <c r="AU154" s="273" t="str">
        <f t="shared" si="85"/>
        <v/>
      </c>
      <c r="AV154" s="273" t="str">
        <f t="shared" si="89"/>
        <v/>
      </c>
      <c r="AW154" s="273" t="str">
        <f t="shared" si="87"/>
        <v/>
      </c>
      <c r="AX154" s="274"/>
      <c r="AY154" s="313">
        <f t="shared" si="86"/>
        <v>0</v>
      </c>
    </row>
    <row r="155" spans="1:51" x14ac:dyDescent="0.3">
      <c r="A155" s="71">
        <v>132</v>
      </c>
      <c r="B155" s="341" t="s">
        <v>384</v>
      </c>
      <c r="C155" s="249" t="s">
        <v>385</v>
      </c>
      <c r="D155" s="70" t="s">
        <v>9</v>
      </c>
      <c r="E155" s="69" t="s">
        <v>103</v>
      </c>
      <c r="F155" s="145"/>
      <c r="G155" s="66"/>
      <c r="H155" s="53"/>
      <c r="I155" s="52"/>
      <c r="J155" s="182"/>
      <c r="K155" s="135"/>
      <c r="L155" s="127">
        <v>20</v>
      </c>
      <c r="M155" s="127">
        <v>8.5</v>
      </c>
      <c r="N155" s="127">
        <f t="shared" si="74"/>
        <v>20</v>
      </c>
      <c r="O155" s="127"/>
      <c r="P155" s="127"/>
      <c r="Q155" s="127"/>
      <c r="R155" s="128">
        <f t="shared" si="75"/>
        <v>48.5</v>
      </c>
      <c r="T155" s="285">
        <v>0</v>
      </c>
      <c r="U155" s="285">
        <v>15000</v>
      </c>
      <c r="V155" s="285">
        <f t="shared" si="76"/>
        <v>0</v>
      </c>
      <c r="W155" s="287"/>
      <c r="X155" s="287"/>
      <c r="Y155" s="285"/>
      <c r="Z155" s="286">
        <f t="shared" si="77"/>
        <v>15000</v>
      </c>
      <c r="AB155" s="62" t="s">
        <v>185</v>
      </c>
      <c r="AC155" s="130" t="s">
        <v>185</v>
      </c>
      <c r="AD155" s="62" t="s">
        <v>357</v>
      </c>
      <c r="AE155" s="130">
        <v>5</v>
      </c>
      <c r="AF155" s="62" t="str">
        <f t="shared" si="78"/>
        <v>-</v>
      </c>
      <c r="AG155" s="130" t="str">
        <f t="shared" si="79"/>
        <v>-</v>
      </c>
      <c r="AH155" s="62"/>
      <c r="AI155" s="63"/>
      <c r="AJ155" s="130"/>
      <c r="AK155" s="130"/>
      <c r="AL155" s="62"/>
      <c r="AM155" s="63"/>
      <c r="AO155" s="73">
        <f t="shared" si="80"/>
        <v>1</v>
      </c>
      <c r="AP155" s="73">
        <f t="shared" si="81"/>
        <v>8.5</v>
      </c>
      <c r="AQ155" s="73">
        <f t="shared" si="82"/>
        <v>20</v>
      </c>
      <c r="AR155" s="73" t="str">
        <f t="shared" si="83"/>
        <v>Kevés v.</v>
      </c>
      <c r="AT155" s="273" t="str">
        <f t="shared" si="84"/>
        <v/>
      </c>
      <c r="AU155" s="273" t="str">
        <f t="shared" si="85"/>
        <v/>
      </c>
      <c r="AV155" s="273" t="str">
        <f t="shared" si="89"/>
        <v/>
      </c>
      <c r="AW155" s="273" t="str">
        <f t="shared" si="87"/>
        <v/>
      </c>
      <c r="AX155" s="274"/>
      <c r="AY155" s="313">
        <f t="shared" si="86"/>
        <v>0</v>
      </c>
    </row>
    <row r="156" spans="1:51" x14ac:dyDescent="0.3">
      <c r="A156" s="71">
        <v>137</v>
      </c>
      <c r="B156" s="341" t="s">
        <v>392</v>
      </c>
      <c r="C156" s="249" t="s">
        <v>340</v>
      </c>
      <c r="D156" s="70" t="s">
        <v>9</v>
      </c>
      <c r="E156" s="69" t="s">
        <v>103</v>
      </c>
      <c r="F156" s="145"/>
      <c r="G156" s="66"/>
      <c r="H156" s="53"/>
      <c r="I156" s="52"/>
      <c r="J156" s="182"/>
      <c r="K156" s="135"/>
      <c r="L156" s="127">
        <v>20</v>
      </c>
      <c r="M156" s="127">
        <v>4</v>
      </c>
      <c r="N156" s="127">
        <f t="shared" si="74"/>
        <v>20</v>
      </c>
      <c r="O156" s="127"/>
      <c r="P156" s="127"/>
      <c r="Q156" s="127"/>
      <c r="R156" s="128">
        <f t="shared" si="75"/>
        <v>44</v>
      </c>
      <c r="T156" s="285">
        <v>0</v>
      </c>
      <c r="U156" s="285">
        <v>25400</v>
      </c>
      <c r="V156" s="285">
        <f t="shared" si="76"/>
        <v>0</v>
      </c>
      <c r="W156" s="287"/>
      <c r="X156" s="287"/>
      <c r="Y156" s="285"/>
      <c r="Z156" s="286">
        <f t="shared" si="77"/>
        <v>25400</v>
      </c>
      <c r="AB156" s="62" t="s">
        <v>185</v>
      </c>
      <c r="AC156" s="130" t="s">
        <v>185</v>
      </c>
      <c r="AD156" s="62" t="s">
        <v>354</v>
      </c>
      <c r="AE156" s="130">
        <v>5</v>
      </c>
      <c r="AF156" s="62" t="str">
        <f t="shared" si="78"/>
        <v>-</v>
      </c>
      <c r="AG156" s="130" t="str">
        <f t="shared" si="79"/>
        <v>-</v>
      </c>
      <c r="AH156" s="62"/>
      <c r="AI156" s="63"/>
      <c r="AJ156" s="130"/>
      <c r="AK156" s="130"/>
      <c r="AL156" s="62"/>
      <c r="AM156" s="63"/>
      <c r="AO156" s="73">
        <f t="shared" si="80"/>
        <v>1</v>
      </c>
      <c r="AP156" s="73">
        <f t="shared" si="81"/>
        <v>4</v>
      </c>
      <c r="AQ156" s="73">
        <f t="shared" si="82"/>
        <v>20</v>
      </c>
      <c r="AR156" s="73" t="str">
        <f t="shared" si="83"/>
        <v>Kevés v.</v>
      </c>
      <c r="AT156" s="273" t="str">
        <f t="shared" si="84"/>
        <v/>
      </c>
      <c r="AU156" s="273" t="str">
        <f t="shared" si="85"/>
        <v/>
      </c>
      <c r="AV156" s="273" t="str">
        <f t="shared" si="89"/>
        <v/>
      </c>
      <c r="AW156" s="273" t="str">
        <f t="shared" si="87"/>
        <v/>
      </c>
      <c r="AX156" s="274"/>
      <c r="AY156" s="313">
        <f t="shared" si="86"/>
        <v>0</v>
      </c>
    </row>
    <row r="157" spans="1:51" x14ac:dyDescent="0.3">
      <c r="A157" s="71">
        <v>138</v>
      </c>
      <c r="B157" s="341" t="s">
        <v>393</v>
      </c>
      <c r="C157" s="47" t="s">
        <v>394</v>
      </c>
      <c r="D157" s="70" t="s">
        <v>9</v>
      </c>
      <c r="E157" s="69" t="s">
        <v>103</v>
      </c>
      <c r="F157" s="145"/>
      <c r="G157" s="66"/>
      <c r="H157" s="53"/>
      <c r="I157" s="52"/>
      <c r="J157" s="182"/>
      <c r="K157" s="135"/>
      <c r="L157" s="127">
        <v>20</v>
      </c>
      <c r="M157" s="127">
        <v>11</v>
      </c>
      <c r="N157" s="127">
        <f t="shared" si="74"/>
        <v>20</v>
      </c>
      <c r="O157" s="127"/>
      <c r="P157" s="127"/>
      <c r="Q157" s="127"/>
      <c r="R157" s="128">
        <f t="shared" si="75"/>
        <v>51</v>
      </c>
      <c r="T157" s="285">
        <v>0</v>
      </c>
      <c r="U157" s="285">
        <v>10075</v>
      </c>
      <c r="V157" s="285">
        <f t="shared" si="76"/>
        <v>0</v>
      </c>
      <c r="W157" s="287"/>
      <c r="X157" s="287"/>
      <c r="Y157" s="285"/>
      <c r="Z157" s="286">
        <f t="shared" si="77"/>
        <v>10075</v>
      </c>
      <c r="AB157" s="62" t="s">
        <v>185</v>
      </c>
      <c r="AC157" s="130" t="s">
        <v>185</v>
      </c>
      <c r="AD157" s="62" t="s">
        <v>353</v>
      </c>
      <c r="AE157" s="130">
        <v>3</v>
      </c>
      <c r="AF157" s="62" t="str">
        <f t="shared" si="78"/>
        <v>-</v>
      </c>
      <c r="AG157" s="130" t="str">
        <f t="shared" si="79"/>
        <v>-</v>
      </c>
      <c r="AH157" s="62"/>
      <c r="AI157" s="63"/>
      <c r="AJ157" s="130"/>
      <c r="AK157" s="130"/>
      <c r="AL157" s="62"/>
      <c r="AM157" s="63"/>
      <c r="AO157" s="73">
        <f t="shared" si="80"/>
        <v>1</v>
      </c>
      <c r="AP157" s="73">
        <f t="shared" si="81"/>
        <v>11</v>
      </c>
      <c r="AQ157" s="73">
        <f t="shared" si="82"/>
        <v>20</v>
      </c>
      <c r="AR157" s="73" t="str">
        <f t="shared" si="83"/>
        <v>Kevés v.</v>
      </c>
      <c r="AT157" s="273" t="str">
        <f t="shared" si="84"/>
        <v/>
      </c>
      <c r="AU157" s="273" t="str">
        <f t="shared" si="85"/>
        <v/>
      </c>
      <c r="AV157" s="273" t="str">
        <f t="shared" si="89"/>
        <v/>
      </c>
      <c r="AW157" s="273" t="str">
        <f t="shared" si="87"/>
        <v/>
      </c>
      <c r="AX157" s="274"/>
      <c r="AY157" s="313">
        <f t="shared" si="86"/>
        <v>0</v>
      </c>
    </row>
    <row r="158" spans="1:51" x14ac:dyDescent="0.3">
      <c r="A158" s="71">
        <v>139</v>
      </c>
      <c r="B158" s="336" t="s">
        <v>395</v>
      </c>
      <c r="C158" s="249" t="s">
        <v>396</v>
      </c>
      <c r="D158" s="70" t="s">
        <v>9</v>
      </c>
      <c r="E158" s="69" t="s">
        <v>103</v>
      </c>
      <c r="F158" s="145"/>
      <c r="G158" s="66"/>
      <c r="H158" s="53"/>
      <c r="I158" s="52"/>
      <c r="J158" s="182"/>
      <c r="K158" s="135"/>
      <c r="L158" s="127">
        <v>20</v>
      </c>
      <c r="M158" s="127">
        <v>11.5</v>
      </c>
      <c r="N158" s="127">
        <f t="shared" si="74"/>
        <v>20</v>
      </c>
      <c r="O158" s="127"/>
      <c r="P158" s="127"/>
      <c r="Q158" s="127"/>
      <c r="R158" s="128">
        <f t="shared" si="75"/>
        <v>51.5</v>
      </c>
      <c r="T158" s="285">
        <v>0</v>
      </c>
      <c r="U158" s="285">
        <v>15000</v>
      </c>
      <c r="V158" s="285">
        <f t="shared" si="76"/>
        <v>0</v>
      </c>
      <c r="W158" s="287"/>
      <c r="X158" s="287"/>
      <c r="Y158" s="285"/>
      <c r="Z158" s="286">
        <f t="shared" si="77"/>
        <v>15000</v>
      </c>
      <c r="AB158" s="62" t="s">
        <v>185</v>
      </c>
      <c r="AC158" s="130" t="s">
        <v>185</v>
      </c>
      <c r="AD158" s="62" t="s">
        <v>354</v>
      </c>
      <c r="AE158" s="130">
        <v>7</v>
      </c>
      <c r="AF158" s="62" t="str">
        <f t="shared" si="78"/>
        <v>-</v>
      </c>
      <c r="AG158" s="130" t="str">
        <f t="shared" si="79"/>
        <v>-</v>
      </c>
      <c r="AH158" s="62"/>
      <c r="AI158" s="63"/>
      <c r="AJ158" s="130"/>
      <c r="AK158" s="130"/>
      <c r="AL158" s="62"/>
      <c r="AM158" s="63"/>
      <c r="AO158" s="73">
        <f t="shared" si="80"/>
        <v>1</v>
      </c>
      <c r="AP158" s="73">
        <f t="shared" si="81"/>
        <v>11.5</v>
      </c>
      <c r="AQ158" s="73">
        <f t="shared" si="82"/>
        <v>20</v>
      </c>
      <c r="AR158" s="73" t="str">
        <f t="shared" si="83"/>
        <v>Kevés v.</v>
      </c>
      <c r="AT158" s="273" t="str">
        <f t="shared" si="84"/>
        <v/>
      </c>
      <c r="AU158" s="273" t="str">
        <f t="shared" si="85"/>
        <v/>
      </c>
      <c r="AV158" s="273" t="str">
        <f t="shared" si="89"/>
        <v/>
      </c>
      <c r="AW158" s="273" t="str">
        <f t="shared" si="87"/>
        <v/>
      </c>
      <c r="AX158" s="274"/>
      <c r="AY158" s="313">
        <f t="shared" si="86"/>
        <v>0</v>
      </c>
    </row>
    <row r="159" spans="1:51" x14ac:dyDescent="0.3">
      <c r="A159" s="71">
        <v>140</v>
      </c>
      <c r="B159" s="336" t="s">
        <v>399</v>
      </c>
      <c r="C159" s="249" t="s">
        <v>260</v>
      </c>
      <c r="D159" s="143" t="s">
        <v>116</v>
      </c>
      <c r="E159" s="69" t="s">
        <v>103</v>
      </c>
      <c r="F159" s="145"/>
      <c r="G159" s="66"/>
      <c r="H159" s="53"/>
      <c r="I159" s="52"/>
      <c r="J159" s="182"/>
      <c r="K159" s="135"/>
      <c r="L159" s="127">
        <v>20</v>
      </c>
      <c r="M159" s="127">
        <v>1</v>
      </c>
      <c r="N159" s="127">
        <f t="shared" si="74"/>
        <v>20</v>
      </c>
      <c r="O159" s="127"/>
      <c r="P159" s="127"/>
      <c r="Q159" s="127"/>
      <c r="R159" s="128">
        <f t="shared" si="75"/>
        <v>41</v>
      </c>
      <c r="T159" s="285">
        <v>0</v>
      </c>
      <c r="U159" s="285">
        <v>24575</v>
      </c>
      <c r="V159" s="285">
        <f t="shared" si="76"/>
        <v>0</v>
      </c>
      <c r="W159" s="287"/>
      <c r="X159" s="287"/>
      <c r="Y159" s="285"/>
      <c r="Z159" s="286">
        <f t="shared" si="77"/>
        <v>24575</v>
      </c>
      <c r="AB159" s="62" t="s">
        <v>185</v>
      </c>
      <c r="AC159" s="130" t="s">
        <v>185</v>
      </c>
      <c r="AD159" s="62" t="s">
        <v>360</v>
      </c>
      <c r="AE159" s="130">
        <v>12</v>
      </c>
      <c r="AF159" s="62" t="str">
        <f t="shared" si="78"/>
        <v>-</v>
      </c>
      <c r="AG159" s="130" t="str">
        <f t="shared" si="79"/>
        <v>-</v>
      </c>
      <c r="AH159" s="62"/>
      <c r="AI159" s="63"/>
      <c r="AJ159" s="130"/>
      <c r="AK159" s="130"/>
      <c r="AL159" s="62"/>
      <c r="AM159" s="63"/>
      <c r="AO159" s="73">
        <f t="shared" si="80"/>
        <v>1</v>
      </c>
      <c r="AP159" s="73">
        <f t="shared" si="81"/>
        <v>1</v>
      </c>
      <c r="AQ159" s="73">
        <f t="shared" si="82"/>
        <v>20</v>
      </c>
      <c r="AR159" s="73" t="str">
        <f t="shared" si="83"/>
        <v>Kevés v.</v>
      </c>
      <c r="AT159" s="273" t="str">
        <f t="shared" si="84"/>
        <v/>
      </c>
      <c r="AU159" s="273" t="str">
        <f t="shared" si="85"/>
        <v/>
      </c>
      <c r="AV159" s="273" t="str">
        <f t="shared" si="89"/>
        <v/>
      </c>
      <c r="AW159" s="273" t="str">
        <f t="shared" si="87"/>
        <v/>
      </c>
      <c r="AX159" s="274"/>
      <c r="AY159" s="313">
        <f t="shared" si="86"/>
        <v>0</v>
      </c>
    </row>
    <row r="160" spans="1:51" x14ac:dyDescent="0.3">
      <c r="A160" s="71">
        <v>141</v>
      </c>
      <c r="B160" s="341" t="s">
        <v>400</v>
      </c>
      <c r="C160" s="249" t="s">
        <v>401</v>
      </c>
      <c r="D160" s="70" t="s">
        <v>116</v>
      </c>
      <c r="E160" s="69" t="s">
        <v>103</v>
      </c>
      <c r="F160" s="145"/>
      <c r="G160" s="66"/>
      <c r="H160" s="53"/>
      <c r="I160" s="52"/>
      <c r="J160" s="182"/>
      <c r="K160" s="135"/>
      <c r="L160" s="127">
        <v>20</v>
      </c>
      <c r="M160" s="127">
        <v>3</v>
      </c>
      <c r="N160" s="127">
        <f t="shared" ref="N160:N191" si="90">IF($G160="",20,$J160)</f>
        <v>20</v>
      </c>
      <c r="O160" s="127"/>
      <c r="P160" s="127"/>
      <c r="Q160" s="127"/>
      <c r="R160" s="128">
        <f t="shared" ref="R160:R191" si="91">SUM(L160:Q160)</f>
        <v>43</v>
      </c>
      <c r="T160" s="285">
        <v>0</v>
      </c>
      <c r="U160" s="285">
        <v>22475</v>
      </c>
      <c r="V160" s="285">
        <f t="shared" ref="V160:V191" si="92">IF($G160="",0,$I160)</f>
        <v>0</v>
      </c>
      <c r="W160" s="287"/>
      <c r="X160" s="287"/>
      <c r="Y160" s="285"/>
      <c r="Z160" s="286">
        <f t="shared" ref="Z160:Z191" si="93">SUM(T160:Y160)</f>
        <v>22475</v>
      </c>
      <c r="AB160" s="62" t="s">
        <v>185</v>
      </c>
      <c r="AC160" s="130" t="s">
        <v>185</v>
      </c>
      <c r="AD160" s="62" t="s">
        <v>360</v>
      </c>
      <c r="AE160" s="130">
        <v>8</v>
      </c>
      <c r="AF160" s="62" t="str">
        <f t="shared" ref="AF160:AF191" si="94">IF($G160="","-",$G160)</f>
        <v>-</v>
      </c>
      <c r="AG160" s="130" t="str">
        <f t="shared" ref="AG160:AG191" si="95">IF($G160="","-",$H160)</f>
        <v>-</v>
      </c>
      <c r="AH160" s="62"/>
      <c r="AI160" s="63"/>
      <c r="AJ160" s="130"/>
      <c r="AK160" s="130"/>
      <c r="AL160" s="62"/>
      <c r="AM160" s="63"/>
      <c r="AO160" s="73">
        <f t="shared" ref="AO160:AO191" si="96">COUNTIFS(L160:Q160,"&lt;20")</f>
        <v>1</v>
      </c>
      <c r="AP160" s="73">
        <f t="shared" ref="AP160:AP191" si="97">SUMIF(L160:Q160,"&lt;20")</f>
        <v>3</v>
      </c>
      <c r="AQ160" s="73">
        <f t="shared" ref="AQ160:AQ191" si="98">MAX(L160:Q160)</f>
        <v>20</v>
      </c>
      <c r="AR160" s="73" t="str">
        <f t="shared" ref="AR160:AR191" si="99">IF(AO160&gt;4,L160+M160+N160+O160+P160+Q160-AQ160,IF(AO160&lt;5,"Kevés v."))</f>
        <v>Kevés v.</v>
      </c>
      <c r="AT160" s="273" t="str">
        <f t="shared" ref="AT160:AT191" si="100">IF(F160=2,IF(E160="felnőtt",8300,IF(E160="ifjúsági",6600,IF(E160="női",6600,IF(E160="gyermek",1000,"")))),"")</f>
        <v/>
      </c>
      <c r="AU160" s="273" t="str">
        <f t="shared" ref="AU160:AU191" si="101">IF(F160=3,IF(E160="felnőtt",6300,IF(E160="ifjúsági",4600,IF(E160="női",4600,IF(E160="gyermek",0,"")))),"")</f>
        <v/>
      </c>
      <c r="AV160" s="273" t="str">
        <f t="shared" si="89"/>
        <v/>
      </c>
      <c r="AW160" s="273" t="str">
        <f t="shared" si="87"/>
        <v/>
      </c>
      <c r="AX160" s="274"/>
      <c r="AY160" s="313">
        <f t="shared" ref="AY160:AY191" si="102">SUM(AT160:AX160)</f>
        <v>0</v>
      </c>
    </row>
    <row r="161" spans="1:51" x14ac:dyDescent="0.3">
      <c r="A161" s="71">
        <v>142</v>
      </c>
      <c r="B161" s="341" t="s">
        <v>402</v>
      </c>
      <c r="C161" s="47" t="s">
        <v>403</v>
      </c>
      <c r="D161" s="143" t="s">
        <v>9</v>
      </c>
      <c r="E161" s="69" t="s">
        <v>103</v>
      </c>
      <c r="F161" s="145"/>
      <c r="G161" s="66"/>
      <c r="H161" s="53"/>
      <c r="I161" s="52"/>
      <c r="J161" s="182"/>
      <c r="K161" s="135"/>
      <c r="L161" s="127">
        <v>20</v>
      </c>
      <c r="M161" s="127">
        <v>3</v>
      </c>
      <c r="N161" s="127">
        <f t="shared" si="90"/>
        <v>20</v>
      </c>
      <c r="O161" s="127"/>
      <c r="P161" s="127"/>
      <c r="Q161" s="127"/>
      <c r="R161" s="128">
        <f t="shared" si="91"/>
        <v>43</v>
      </c>
      <c r="T161" s="285">
        <v>0</v>
      </c>
      <c r="U161" s="285">
        <v>26125</v>
      </c>
      <c r="V161" s="285">
        <f t="shared" si="92"/>
        <v>0</v>
      </c>
      <c r="W161" s="287"/>
      <c r="X161" s="287"/>
      <c r="Y161" s="285"/>
      <c r="Z161" s="286">
        <f t="shared" si="93"/>
        <v>26125</v>
      </c>
      <c r="AB161" s="62" t="s">
        <v>185</v>
      </c>
      <c r="AC161" s="130" t="s">
        <v>185</v>
      </c>
      <c r="AD161" s="62" t="s">
        <v>354</v>
      </c>
      <c r="AE161" s="130">
        <v>9</v>
      </c>
      <c r="AF161" s="62" t="str">
        <f t="shared" si="94"/>
        <v>-</v>
      </c>
      <c r="AG161" s="130" t="str">
        <f t="shared" si="95"/>
        <v>-</v>
      </c>
      <c r="AH161" s="62"/>
      <c r="AI161" s="63"/>
      <c r="AJ161" s="130"/>
      <c r="AK161" s="130"/>
      <c r="AL161" s="62"/>
      <c r="AM161" s="63"/>
      <c r="AO161" s="73">
        <f t="shared" si="96"/>
        <v>1</v>
      </c>
      <c r="AP161" s="73">
        <f t="shared" si="97"/>
        <v>3</v>
      </c>
      <c r="AQ161" s="73">
        <f t="shared" si="98"/>
        <v>20</v>
      </c>
      <c r="AR161" s="73" t="str">
        <f t="shared" si="99"/>
        <v>Kevés v.</v>
      </c>
      <c r="AT161" s="273" t="str">
        <f t="shared" si="100"/>
        <v/>
      </c>
      <c r="AU161" s="273" t="str">
        <f t="shared" si="101"/>
        <v/>
      </c>
      <c r="AV161" s="273" t="str">
        <f t="shared" si="89"/>
        <v/>
      </c>
      <c r="AW161" s="273" t="str">
        <f t="shared" si="87"/>
        <v/>
      </c>
      <c r="AX161" s="274"/>
      <c r="AY161" s="313">
        <f t="shared" si="102"/>
        <v>0</v>
      </c>
    </row>
    <row r="162" spans="1:51" x14ac:dyDescent="0.3">
      <c r="A162" s="71">
        <v>145</v>
      </c>
      <c r="B162" s="341" t="s">
        <v>406</v>
      </c>
      <c r="C162" s="249" t="s">
        <v>407</v>
      </c>
      <c r="D162" s="70" t="s">
        <v>116</v>
      </c>
      <c r="E162" s="69" t="s">
        <v>103</v>
      </c>
      <c r="F162" s="145"/>
      <c r="G162" s="66"/>
      <c r="H162" s="53"/>
      <c r="I162" s="52"/>
      <c r="J162" s="182"/>
      <c r="K162" s="135"/>
      <c r="L162" s="127">
        <v>20</v>
      </c>
      <c r="M162" s="127">
        <v>14</v>
      </c>
      <c r="N162" s="127">
        <f t="shared" si="90"/>
        <v>20</v>
      </c>
      <c r="O162" s="127"/>
      <c r="P162" s="127"/>
      <c r="Q162" s="127"/>
      <c r="R162" s="128">
        <f t="shared" si="91"/>
        <v>54</v>
      </c>
      <c r="T162" s="285">
        <v>0</v>
      </c>
      <c r="U162" s="285">
        <v>0</v>
      </c>
      <c r="V162" s="285">
        <f t="shared" si="92"/>
        <v>0</v>
      </c>
      <c r="W162" s="287"/>
      <c r="X162" s="287"/>
      <c r="Y162" s="285"/>
      <c r="Z162" s="286">
        <f t="shared" si="93"/>
        <v>0</v>
      </c>
      <c r="AB162" s="62" t="s">
        <v>185</v>
      </c>
      <c r="AC162" s="130" t="s">
        <v>185</v>
      </c>
      <c r="AD162" s="62" t="s">
        <v>360</v>
      </c>
      <c r="AE162" s="130">
        <v>9</v>
      </c>
      <c r="AF162" s="62" t="str">
        <f t="shared" si="94"/>
        <v>-</v>
      </c>
      <c r="AG162" s="130" t="str">
        <f t="shared" si="95"/>
        <v>-</v>
      </c>
      <c r="AH162" s="62"/>
      <c r="AI162" s="63"/>
      <c r="AJ162" s="130"/>
      <c r="AK162" s="130"/>
      <c r="AL162" s="62"/>
      <c r="AM162" s="63"/>
      <c r="AO162" s="73">
        <f t="shared" si="96"/>
        <v>1</v>
      </c>
      <c r="AP162" s="73">
        <f t="shared" si="97"/>
        <v>14</v>
      </c>
      <c r="AQ162" s="73">
        <f t="shared" si="98"/>
        <v>20</v>
      </c>
      <c r="AR162" s="73" t="str">
        <f t="shared" si="99"/>
        <v>Kevés v.</v>
      </c>
      <c r="AT162" s="273" t="str">
        <f t="shared" si="100"/>
        <v/>
      </c>
      <c r="AU162" s="273" t="str">
        <f t="shared" si="101"/>
        <v/>
      </c>
      <c r="AV162" s="273" t="str">
        <f t="shared" si="89"/>
        <v/>
      </c>
      <c r="AW162" s="273" t="str">
        <f t="shared" ref="AW162:AW193" si="103">IF(F162=7,IF(E162="felnőtt",31500,IF(E162="ifjúsági",23000,IF(E162="női",23000,IF(E162="gyermek",0,"")))),"")</f>
        <v/>
      </c>
      <c r="AX162" s="274"/>
      <c r="AY162" s="313">
        <f t="shared" si="102"/>
        <v>0</v>
      </c>
    </row>
    <row r="163" spans="1:51" x14ac:dyDescent="0.3">
      <c r="A163" s="71">
        <v>146</v>
      </c>
      <c r="B163" s="339" t="s">
        <v>408</v>
      </c>
      <c r="C163" s="250" t="s">
        <v>407</v>
      </c>
      <c r="D163" s="143" t="s">
        <v>116</v>
      </c>
      <c r="E163" s="142" t="s">
        <v>103</v>
      </c>
      <c r="F163" s="145"/>
      <c r="G163" s="66"/>
      <c r="H163" s="53"/>
      <c r="I163" s="52"/>
      <c r="J163" s="182"/>
      <c r="K163" s="135"/>
      <c r="L163" s="127">
        <v>20</v>
      </c>
      <c r="M163" s="127">
        <v>7</v>
      </c>
      <c r="N163" s="127">
        <f t="shared" si="90"/>
        <v>20</v>
      </c>
      <c r="O163" s="127"/>
      <c r="P163" s="127"/>
      <c r="Q163" s="127"/>
      <c r="R163" s="128">
        <f t="shared" si="91"/>
        <v>47</v>
      </c>
      <c r="T163" s="285">
        <v>0</v>
      </c>
      <c r="U163" s="285">
        <v>7900</v>
      </c>
      <c r="V163" s="285">
        <f t="shared" si="92"/>
        <v>0</v>
      </c>
      <c r="W163" s="287"/>
      <c r="X163" s="287"/>
      <c r="Y163" s="285"/>
      <c r="Z163" s="286">
        <f t="shared" si="93"/>
        <v>7900</v>
      </c>
      <c r="AB163" s="62" t="s">
        <v>185</v>
      </c>
      <c r="AC163" s="130" t="s">
        <v>185</v>
      </c>
      <c r="AD163" s="62" t="s">
        <v>363</v>
      </c>
      <c r="AE163" s="130">
        <v>12</v>
      </c>
      <c r="AF163" s="62" t="str">
        <f t="shared" si="94"/>
        <v>-</v>
      </c>
      <c r="AG163" s="130" t="str">
        <f t="shared" si="95"/>
        <v>-</v>
      </c>
      <c r="AH163" s="62"/>
      <c r="AI163" s="63"/>
      <c r="AJ163" s="130"/>
      <c r="AK163" s="130"/>
      <c r="AL163" s="62"/>
      <c r="AM163" s="63"/>
      <c r="AO163" s="73">
        <f t="shared" si="96"/>
        <v>1</v>
      </c>
      <c r="AP163" s="73">
        <f t="shared" si="97"/>
        <v>7</v>
      </c>
      <c r="AQ163" s="73">
        <f t="shared" si="98"/>
        <v>20</v>
      </c>
      <c r="AR163" s="73" t="str">
        <f t="shared" si="99"/>
        <v>Kevés v.</v>
      </c>
      <c r="AT163" s="273" t="str">
        <f t="shared" si="100"/>
        <v/>
      </c>
      <c r="AU163" s="273" t="str">
        <f t="shared" si="101"/>
        <v/>
      </c>
      <c r="AV163" s="273" t="str">
        <f t="shared" si="89"/>
        <v/>
      </c>
      <c r="AW163" s="273" t="str">
        <f t="shared" si="103"/>
        <v/>
      </c>
      <c r="AX163" s="274"/>
      <c r="AY163" s="313">
        <f t="shared" si="102"/>
        <v>0</v>
      </c>
    </row>
    <row r="164" spans="1:51" x14ac:dyDescent="0.3">
      <c r="A164" s="71">
        <v>147</v>
      </c>
      <c r="B164" s="341" t="s">
        <v>409</v>
      </c>
      <c r="C164" s="249" t="s">
        <v>270</v>
      </c>
      <c r="D164" s="70" t="s">
        <v>116</v>
      </c>
      <c r="E164" s="69" t="s">
        <v>103</v>
      </c>
      <c r="F164" s="145"/>
      <c r="G164" s="66"/>
      <c r="H164" s="53"/>
      <c r="I164" s="52"/>
      <c r="J164" s="182"/>
      <c r="K164" s="135"/>
      <c r="L164" s="127">
        <v>20</v>
      </c>
      <c r="M164" s="127">
        <v>9</v>
      </c>
      <c r="N164" s="127">
        <f t="shared" si="90"/>
        <v>20</v>
      </c>
      <c r="O164" s="127"/>
      <c r="P164" s="127"/>
      <c r="Q164" s="127"/>
      <c r="R164" s="128">
        <f t="shared" si="91"/>
        <v>49</v>
      </c>
      <c r="T164" s="285">
        <v>0</v>
      </c>
      <c r="U164" s="285">
        <v>5900</v>
      </c>
      <c r="V164" s="285">
        <f t="shared" si="92"/>
        <v>0</v>
      </c>
      <c r="W164" s="287"/>
      <c r="X164" s="287"/>
      <c r="Y164" s="285"/>
      <c r="Z164" s="286">
        <f t="shared" si="93"/>
        <v>5900</v>
      </c>
      <c r="AB164" s="62" t="s">
        <v>185</v>
      </c>
      <c r="AC164" s="130" t="s">
        <v>185</v>
      </c>
      <c r="AD164" s="62" t="s">
        <v>363</v>
      </c>
      <c r="AE164" s="130">
        <v>7</v>
      </c>
      <c r="AF164" s="62" t="str">
        <f t="shared" si="94"/>
        <v>-</v>
      </c>
      <c r="AG164" s="130" t="str">
        <f t="shared" si="95"/>
        <v>-</v>
      </c>
      <c r="AH164" s="62"/>
      <c r="AI164" s="63"/>
      <c r="AJ164" s="130"/>
      <c r="AK164" s="130"/>
      <c r="AL164" s="62"/>
      <c r="AM164" s="63"/>
      <c r="AO164" s="73">
        <f t="shared" si="96"/>
        <v>1</v>
      </c>
      <c r="AP164" s="73">
        <f t="shared" si="97"/>
        <v>9</v>
      </c>
      <c r="AQ164" s="73">
        <f t="shared" si="98"/>
        <v>20</v>
      </c>
      <c r="AR164" s="73" t="str">
        <f t="shared" si="99"/>
        <v>Kevés v.</v>
      </c>
      <c r="AT164" s="273" t="str">
        <f t="shared" si="100"/>
        <v/>
      </c>
      <c r="AU164" s="273" t="str">
        <f t="shared" si="101"/>
        <v/>
      </c>
      <c r="AV164" s="273" t="str">
        <f t="shared" si="89"/>
        <v/>
      </c>
      <c r="AW164" s="273" t="str">
        <f t="shared" si="103"/>
        <v/>
      </c>
      <c r="AX164" s="274"/>
      <c r="AY164" s="313">
        <f t="shared" si="102"/>
        <v>0</v>
      </c>
    </row>
    <row r="165" spans="1:51" x14ac:dyDescent="0.3">
      <c r="A165" s="68">
        <v>160</v>
      </c>
      <c r="B165" s="141"/>
      <c r="C165" s="250"/>
      <c r="D165" s="143"/>
      <c r="E165" s="142"/>
      <c r="F165" s="145"/>
      <c r="G165" s="66"/>
      <c r="H165" s="53"/>
      <c r="I165" s="52"/>
      <c r="J165" s="182"/>
      <c r="K165" s="135"/>
      <c r="L165" s="127">
        <v>20</v>
      </c>
      <c r="M165" s="127">
        <v>20</v>
      </c>
      <c r="N165" s="127">
        <f t="shared" si="90"/>
        <v>20</v>
      </c>
      <c r="O165" s="127"/>
      <c r="P165" s="127"/>
      <c r="Q165" s="127"/>
      <c r="R165" s="128">
        <f t="shared" si="91"/>
        <v>60</v>
      </c>
      <c r="T165" s="285">
        <v>0</v>
      </c>
      <c r="U165" s="285">
        <v>0</v>
      </c>
      <c r="V165" s="285">
        <f t="shared" si="92"/>
        <v>0</v>
      </c>
      <c r="W165" s="287"/>
      <c r="X165" s="287"/>
      <c r="Y165" s="285"/>
      <c r="Z165" s="286">
        <f t="shared" si="93"/>
        <v>0</v>
      </c>
      <c r="AB165" s="62" t="s">
        <v>185</v>
      </c>
      <c r="AC165" s="130" t="s">
        <v>185</v>
      </c>
      <c r="AD165" s="62" t="s">
        <v>185</v>
      </c>
      <c r="AE165" s="130" t="s">
        <v>185</v>
      </c>
      <c r="AF165" s="62" t="str">
        <f t="shared" si="94"/>
        <v>-</v>
      </c>
      <c r="AG165" s="130" t="str">
        <f t="shared" si="95"/>
        <v>-</v>
      </c>
      <c r="AH165" s="62"/>
      <c r="AI165" s="63"/>
      <c r="AJ165" s="130"/>
      <c r="AK165" s="130"/>
      <c r="AL165" s="62"/>
      <c r="AM165" s="63"/>
      <c r="AO165" s="73">
        <f t="shared" si="96"/>
        <v>0</v>
      </c>
      <c r="AP165" s="73">
        <f t="shared" si="97"/>
        <v>0</v>
      </c>
      <c r="AQ165" s="73">
        <f t="shared" si="98"/>
        <v>20</v>
      </c>
      <c r="AR165" s="73" t="str">
        <f t="shared" si="99"/>
        <v>Kevés v.</v>
      </c>
      <c r="AT165" s="273" t="str">
        <f t="shared" si="100"/>
        <v/>
      </c>
      <c r="AU165" s="273" t="str">
        <f t="shared" si="101"/>
        <v/>
      </c>
      <c r="AV165" s="273" t="str">
        <f t="shared" si="89"/>
        <v/>
      </c>
      <c r="AW165" s="273" t="str">
        <f t="shared" si="103"/>
        <v/>
      </c>
      <c r="AX165" s="274"/>
      <c r="AY165" s="313">
        <f t="shared" si="102"/>
        <v>0</v>
      </c>
    </row>
    <row r="166" spans="1:51" x14ac:dyDescent="0.3">
      <c r="A166" s="68">
        <v>161</v>
      </c>
      <c r="B166" s="141"/>
      <c r="C166" s="250"/>
      <c r="D166" s="143"/>
      <c r="E166" s="142"/>
      <c r="F166" s="145"/>
      <c r="G166" s="66"/>
      <c r="H166" s="53"/>
      <c r="I166" s="52"/>
      <c r="J166" s="182"/>
      <c r="K166" s="135"/>
      <c r="L166" s="127">
        <v>20</v>
      </c>
      <c r="M166" s="127">
        <v>20</v>
      </c>
      <c r="N166" s="127">
        <f t="shared" si="90"/>
        <v>20</v>
      </c>
      <c r="O166" s="127"/>
      <c r="P166" s="127"/>
      <c r="Q166" s="127"/>
      <c r="R166" s="128">
        <f t="shared" si="91"/>
        <v>60</v>
      </c>
      <c r="T166" s="285">
        <v>0</v>
      </c>
      <c r="U166" s="285">
        <v>0</v>
      </c>
      <c r="V166" s="285">
        <f t="shared" si="92"/>
        <v>0</v>
      </c>
      <c r="W166" s="287"/>
      <c r="X166" s="287"/>
      <c r="Y166" s="285"/>
      <c r="Z166" s="286">
        <f t="shared" si="93"/>
        <v>0</v>
      </c>
      <c r="AB166" s="62" t="s">
        <v>185</v>
      </c>
      <c r="AC166" s="130" t="s">
        <v>185</v>
      </c>
      <c r="AD166" s="62" t="s">
        <v>185</v>
      </c>
      <c r="AE166" s="130" t="s">
        <v>185</v>
      </c>
      <c r="AF166" s="62" t="str">
        <f t="shared" si="94"/>
        <v>-</v>
      </c>
      <c r="AG166" s="130" t="str">
        <f t="shared" si="95"/>
        <v>-</v>
      </c>
      <c r="AH166" s="62"/>
      <c r="AI166" s="63"/>
      <c r="AJ166" s="130"/>
      <c r="AK166" s="130"/>
      <c r="AL166" s="62"/>
      <c r="AM166" s="63"/>
      <c r="AO166" s="73">
        <f t="shared" si="96"/>
        <v>0</v>
      </c>
      <c r="AP166" s="73">
        <f t="shared" si="97"/>
        <v>0</v>
      </c>
      <c r="AQ166" s="73">
        <f t="shared" si="98"/>
        <v>20</v>
      </c>
      <c r="AR166" s="73" t="str">
        <f t="shared" si="99"/>
        <v>Kevés v.</v>
      </c>
      <c r="AT166" s="273" t="str">
        <f t="shared" si="100"/>
        <v/>
      </c>
      <c r="AU166" s="273" t="str">
        <f t="shared" si="101"/>
        <v/>
      </c>
      <c r="AV166" s="273" t="str">
        <f t="shared" si="89"/>
        <v/>
      </c>
      <c r="AW166" s="273" t="str">
        <f t="shared" si="103"/>
        <v/>
      </c>
      <c r="AX166" s="274"/>
      <c r="AY166" s="313">
        <f t="shared" si="102"/>
        <v>0</v>
      </c>
    </row>
    <row r="167" spans="1:51" x14ac:dyDescent="0.3">
      <c r="A167" s="68">
        <v>162</v>
      </c>
      <c r="B167" s="141"/>
      <c r="C167" s="250"/>
      <c r="D167" s="143"/>
      <c r="E167" s="142"/>
      <c r="F167" s="145"/>
      <c r="G167" s="66"/>
      <c r="H167" s="53"/>
      <c r="I167" s="52"/>
      <c r="J167" s="182"/>
      <c r="K167" s="135"/>
      <c r="L167" s="127">
        <v>20</v>
      </c>
      <c r="M167" s="127">
        <v>20</v>
      </c>
      <c r="N167" s="127">
        <f t="shared" si="90"/>
        <v>20</v>
      </c>
      <c r="O167" s="127"/>
      <c r="P167" s="127"/>
      <c r="Q167" s="127"/>
      <c r="R167" s="128">
        <f t="shared" si="91"/>
        <v>60</v>
      </c>
      <c r="T167" s="285">
        <v>0</v>
      </c>
      <c r="U167" s="285">
        <v>0</v>
      </c>
      <c r="V167" s="285">
        <f t="shared" si="92"/>
        <v>0</v>
      </c>
      <c r="W167" s="287"/>
      <c r="X167" s="287"/>
      <c r="Y167" s="285"/>
      <c r="Z167" s="286">
        <f t="shared" si="93"/>
        <v>0</v>
      </c>
      <c r="AB167" s="62" t="s">
        <v>185</v>
      </c>
      <c r="AC167" s="130" t="s">
        <v>185</v>
      </c>
      <c r="AD167" s="62" t="s">
        <v>185</v>
      </c>
      <c r="AE167" s="130" t="s">
        <v>185</v>
      </c>
      <c r="AF167" s="62" t="str">
        <f t="shared" si="94"/>
        <v>-</v>
      </c>
      <c r="AG167" s="130" t="str">
        <f t="shared" si="95"/>
        <v>-</v>
      </c>
      <c r="AH167" s="62"/>
      <c r="AI167" s="63"/>
      <c r="AJ167" s="130"/>
      <c r="AK167" s="130"/>
      <c r="AL167" s="62"/>
      <c r="AM167" s="63"/>
      <c r="AO167" s="73">
        <f t="shared" si="96"/>
        <v>0</v>
      </c>
      <c r="AP167" s="73">
        <f t="shared" si="97"/>
        <v>0</v>
      </c>
      <c r="AQ167" s="73">
        <f t="shared" si="98"/>
        <v>20</v>
      </c>
      <c r="AR167" s="73" t="str">
        <f t="shared" si="99"/>
        <v>Kevés v.</v>
      </c>
      <c r="AT167" s="273" t="str">
        <f t="shared" si="100"/>
        <v/>
      </c>
      <c r="AU167" s="273" t="str">
        <f t="shared" si="101"/>
        <v/>
      </c>
      <c r="AV167" s="273" t="str">
        <f t="shared" si="89"/>
        <v/>
      </c>
      <c r="AW167" s="273" t="str">
        <f t="shared" si="103"/>
        <v/>
      </c>
      <c r="AX167" s="274"/>
      <c r="AY167" s="313">
        <f t="shared" si="102"/>
        <v>0</v>
      </c>
    </row>
    <row r="168" spans="1:51" x14ac:dyDescent="0.3">
      <c r="A168" s="68">
        <v>163</v>
      </c>
      <c r="B168" s="250"/>
      <c r="C168" s="250"/>
      <c r="D168" s="143"/>
      <c r="E168" s="142"/>
      <c r="F168" s="145"/>
      <c r="G168" s="66"/>
      <c r="H168" s="53"/>
      <c r="I168" s="52"/>
      <c r="J168" s="182"/>
      <c r="K168" s="135"/>
      <c r="L168" s="127">
        <v>20</v>
      </c>
      <c r="M168" s="127">
        <v>20</v>
      </c>
      <c r="N168" s="127">
        <f t="shared" si="90"/>
        <v>20</v>
      </c>
      <c r="O168" s="127"/>
      <c r="P168" s="127"/>
      <c r="Q168" s="127"/>
      <c r="R168" s="128">
        <f t="shared" si="91"/>
        <v>60</v>
      </c>
      <c r="T168" s="285">
        <v>0</v>
      </c>
      <c r="U168" s="285">
        <v>0</v>
      </c>
      <c r="V168" s="285">
        <f t="shared" si="92"/>
        <v>0</v>
      </c>
      <c r="W168" s="287"/>
      <c r="X168" s="287"/>
      <c r="Y168" s="285"/>
      <c r="Z168" s="286">
        <f t="shared" si="93"/>
        <v>0</v>
      </c>
      <c r="AB168" s="62" t="s">
        <v>185</v>
      </c>
      <c r="AC168" s="130" t="s">
        <v>185</v>
      </c>
      <c r="AD168" s="62" t="s">
        <v>185</v>
      </c>
      <c r="AE168" s="130" t="s">
        <v>185</v>
      </c>
      <c r="AF168" s="62" t="str">
        <f t="shared" si="94"/>
        <v>-</v>
      </c>
      <c r="AG168" s="130" t="str">
        <f t="shared" si="95"/>
        <v>-</v>
      </c>
      <c r="AH168" s="62"/>
      <c r="AI168" s="63"/>
      <c r="AJ168" s="130"/>
      <c r="AK168" s="130"/>
      <c r="AL168" s="62"/>
      <c r="AM168" s="63"/>
      <c r="AO168" s="73">
        <f t="shared" si="96"/>
        <v>0</v>
      </c>
      <c r="AP168" s="73">
        <f t="shared" si="97"/>
        <v>0</v>
      </c>
      <c r="AQ168" s="73">
        <f t="shared" si="98"/>
        <v>20</v>
      </c>
      <c r="AR168" s="73" t="str">
        <f t="shared" si="99"/>
        <v>Kevés v.</v>
      </c>
      <c r="AT168" s="273" t="str">
        <f t="shared" si="100"/>
        <v/>
      </c>
      <c r="AU168" s="273" t="str">
        <f t="shared" si="101"/>
        <v/>
      </c>
      <c r="AV168" s="273" t="str">
        <f t="shared" si="89"/>
        <v/>
      </c>
      <c r="AW168" s="273" t="str">
        <f t="shared" si="103"/>
        <v/>
      </c>
      <c r="AX168" s="274"/>
      <c r="AY168" s="313">
        <f t="shared" si="102"/>
        <v>0</v>
      </c>
    </row>
    <row r="169" spans="1:51" x14ac:dyDescent="0.3">
      <c r="A169" s="68">
        <v>164</v>
      </c>
      <c r="B169" s="141"/>
      <c r="C169" s="250"/>
      <c r="D169" s="143"/>
      <c r="E169" s="142"/>
      <c r="F169" s="145"/>
      <c r="G169" s="66"/>
      <c r="H169" s="53"/>
      <c r="I169" s="52"/>
      <c r="J169" s="182"/>
      <c r="K169" s="135"/>
      <c r="L169" s="127">
        <v>20</v>
      </c>
      <c r="M169" s="127">
        <v>20</v>
      </c>
      <c r="N169" s="127">
        <f t="shared" si="90"/>
        <v>20</v>
      </c>
      <c r="O169" s="127"/>
      <c r="P169" s="127"/>
      <c r="Q169" s="127"/>
      <c r="R169" s="128">
        <f t="shared" si="91"/>
        <v>60</v>
      </c>
      <c r="T169" s="285">
        <v>0</v>
      </c>
      <c r="U169" s="285">
        <v>0</v>
      </c>
      <c r="V169" s="285">
        <f t="shared" si="92"/>
        <v>0</v>
      </c>
      <c r="W169" s="287"/>
      <c r="X169" s="287"/>
      <c r="Y169" s="285"/>
      <c r="Z169" s="286">
        <f t="shared" si="93"/>
        <v>0</v>
      </c>
      <c r="AB169" s="62" t="s">
        <v>185</v>
      </c>
      <c r="AC169" s="130" t="s">
        <v>185</v>
      </c>
      <c r="AD169" s="62" t="s">
        <v>185</v>
      </c>
      <c r="AE169" s="130" t="s">
        <v>185</v>
      </c>
      <c r="AF169" s="62" t="str">
        <f t="shared" si="94"/>
        <v>-</v>
      </c>
      <c r="AG169" s="130" t="str">
        <f t="shared" si="95"/>
        <v>-</v>
      </c>
      <c r="AH169" s="62"/>
      <c r="AI169" s="63"/>
      <c r="AJ169" s="130"/>
      <c r="AK169" s="130"/>
      <c r="AL169" s="62"/>
      <c r="AM169" s="63"/>
      <c r="AO169" s="73">
        <f t="shared" si="96"/>
        <v>0</v>
      </c>
      <c r="AP169" s="73">
        <f t="shared" si="97"/>
        <v>0</v>
      </c>
      <c r="AQ169" s="73">
        <f t="shared" si="98"/>
        <v>20</v>
      </c>
      <c r="AR169" s="73" t="str">
        <f t="shared" si="99"/>
        <v>Kevés v.</v>
      </c>
      <c r="AT169" s="273" t="str">
        <f t="shared" si="100"/>
        <v/>
      </c>
      <c r="AU169" s="273" t="str">
        <f t="shared" si="101"/>
        <v/>
      </c>
      <c r="AV169" s="273" t="str">
        <f t="shared" si="89"/>
        <v/>
      </c>
      <c r="AW169" s="273" t="str">
        <f t="shared" si="103"/>
        <v/>
      </c>
      <c r="AX169" s="274"/>
      <c r="AY169" s="313">
        <f t="shared" si="102"/>
        <v>0</v>
      </c>
    </row>
    <row r="170" spans="1:51" x14ac:dyDescent="0.3">
      <c r="A170" s="68">
        <v>165</v>
      </c>
      <c r="B170" s="141"/>
      <c r="C170" s="250"/>
      <c r="D170" s="143"/>
      <c r="E170" s="142"/>
      <c r="F170" s="145"/>
      <c r="G170" s="66"/>
      <c r="H170" s="53"/>
      <c r="I170" s="52"/>
      <c r="J170" s="182"/>
      <c r="K170" s="135"/>
      <c r="L170" s="127">
        <v>20</v>
      </c>
      <c r="M170" s="127">
        <v>20</v>
      </c>
      <c r="N170" s="127">
        <f t="shared" si="90"/>
        <v>20</v>
      </c>
      <c r="O170" s="127"/>
      <c r="P170" s="127"/>
      <c r="Q170" s="127"/>
      <c r="R170" s="128">
        <f t="shared" si="91"/>
        <v>60</v>
      </c>
      <c r="T170" s="285">
        <v>0</v>
      </c>
      <c r="U170" s="285">
        <v>0</v>
      </c>
      <c r="V170" s="285">
        <f t="shared" si="92"/>
        <v>0</v>
      </c>
      <c r="W170" s="287"/>
      <c r="X170" s="287"/>
      <c r="Y170" s="285"/>
      <c r="Z170" s="286">
        <f t="shared" si="93"/>
        <v>0</v>
      </c>
      <c r="AB170" s="62" t="s">
        <v>185</v>
      </c>
      <c r="AC170" s="130" t="s">
        <v>185</v>
      </c>
      <c r="AD170" s="62" t="s">
        <v>185</v>
      </c>
      <c r="AE170" s="130" t="s">
        <v>185</v>
      </c>
      <c r="AF170" s="62" t="str">
        <f t="shared" si="94"/>
        <v>-</v>
      </c>
      <c r="AG170" s="130" t="str">
        <f t="shared" si="95"/>
        <v>-</v>
      </c>
      <c r="AH170" s="62"/>
      <c r="AI170" s="63"/>
      <c r="AJ170" s="130"/>
      <c r="AK170" s="130"/>
      <c r="AL170" s="62"/>
      <c r="AM170" s="63"/>
      <c r="AO170" s="73">
        <f t="shared" si="96"/>
        <v>0</v>
      </c>
      <c r="AP170" s="73">
        <f t="shared" si="97"/>
        <v>0</v>
      </c>
      <c r="AQ170" s="73">
        <f t="shared" si="98"/>
        <v>20</v>
      </c>
      <c r="AR170" s="73" t="str">
        <f t="shared" si="99"/>
        <v>Kevés v.</v>
      </c>
      <c r="AT170" s="273" t="str">
        <f t="shared" si="100"/>
        <v/>
      </c>
      <c r="AU170" s="273" t="str">
        <f t="shared" si="101"/>
        <v/>
      </c>
      <c r="AV170" s="273" t="str">
        <f t="shared" si="89"/>
        <v/>
      </c>
      <c r="AW170" s="273" t="str">
        <f t="shared" si="103"/>
        <v/>
      </c>
      <c r="AX170" s="274"/>
      <c r="AY170" s="313">
        <f t="shared" si="102"/>
        <v>0</v>
      </c>
    </row>
    <row r="171" spans="1:51" x14ac:dyDescent="0.3">
      <c r="A171" s="68">
        <v>166</v>
      </c>
      <c r="B171" s="250"/>
      <c r="C171" s="141"/>
      <c r="D171" s="143"/>
      <c r="E171" s="142"/>
      <c r="F171" s="145"/>
      <c r="G171" s="66"/>
      <c r="H171" s="53"/>
      <c r="I171" s="52"/>
      <c r="J171" s="182"/>
      <c r="K171" s="135"/>
      <c r="L171" s="127">
        <v>20</v>
      </c>
      <c r="M171" s="127">
        <v>20</v>
      </c>
      <c r="N171" s="127">
        <f t="shared" si="90"/>
        <v>20</v>
      </c>
      <c r="O171" s="127"/>
      <c r="P171" s="127"/>
      <c r="Q171" s="127"/>
      <c r="R171" s="128">
        <f t="shared" si="91"/>
        <v>60</v>
      </c>
      <c r="T171" s="285">
        <v>0</v>
      </c>
      <c r="U171" s="285">
        <v>0</v>
      </c>
      <c r="V171" s="285">
        <f t="shared" si="92"/>
        <v>0</v>
      </c>
      <c r="W171" s="287"/>
      <c r="X171" s="287"/>
      <c r="Y171" s="285"/>
      <c r="Z171" s="286">
        <f t="shared" si="93"/>
        <v>0</v>
      </c>
      <c r="AB171" s="62" t="s">
        <v>185</v>
      </c>
      <c r="AC171" s="130" t="s">
        <v>185</v>
      </c>
      <c r="AD171" s="62" t="s">
        <v>185</v>
      </c>
      <c r="AE171" s="130" t="s">
        <v>185</v>
      </c>
      <c r="AF171" s="62" t="str">
        <f t="shared" si="94"/>
        <v>-</v>
      </c>
      <c r="AG171" s="130" t="str">
        <f t="shared" si="95"/>
        <v>-</v>
      </c>
      <c r="AH171" s="62"/>
      <c r="AI171" s="63"/>
      <c r="AJ171" s="130"/>
      <c r="AK171" s="130"/>
      <c r="AL171" s="62"/>
      <c r="AM171" s="63"/>
      <c r="AO171" s="73">
        <f t="shared" si="96"/>
        <v>0</v>
      </c>
      <c r="AP171" s="73">
        <f t="shared" si="97"/>
        <v>0</v>
      </c>
      <c r="AQ171" s="73">
        <f t="shared" si="98"/>
        <v>20</v>
      </c>
      <c r="AR171" s="73" t="str">
        <f t="shared" si="99"/>
        <v>Kevés v.</v>
      </c>
      <c r="AT171" s="273" t="str">
        <f t="shared" si="100"/>
        <v/>
      </c>
      <c r="AU171" s="273" t="str">
        <f t="shared" si="101"/>
        <v/>
      </c>
      <c r="AV171" s="273" t="str">
        <f t="shared" si="89"/>
        <v/>
      </c>
      <c r="AW171" s="273" t="str">
        <f t="shared" si="103"/>
        <v/>
      </c>
      <c r="AX171" s="274"/>
      <c r="AY171" s="313">
        <f t="shared" si="102"/>
        <v>0</v>
      </c>
    </row>
    <row r="172" spans="1:51" x14ac:dyDescent="0.3">
      <c r="A172" s="68">
        <v>167</v>
      </c>
      <c r="B172" s="141"/>
      <c r="C172" s="250"/>
      <c r="D172" s="143"/>
      <c r="E172" s="142"/>
      <c r="F172" s="145"/>
      <c r="G172" s="66"/>
      <c r="H172" s="53"/>
      <c r="I172" s="52"/>
      <c r="J172" s="182"/>
      <c r="K172" s="135"/>
      <c r="L172" s="127">
        <v>20</v>
      </c>
      <c r="M172" s="127">
        <v>20</v>
      </c>
      <c r="N172" s="127">
        <f t="shared" si="90"/>
        <v>20</v>
      </c>
      <c r="O172" s="127"/>
      <c r="P172" s="127"/>
      <c r="Q172" s="127"/>
      <c r="R172" s="128">
        <f t="shared" si="91"/>
        <v>60</v>
      </c>
      <c r="T172" s="285">
        <v>0</v>
      </c>
      <c r="U172" s="285">
        <v>0</v>
      </c>
      <c r="V172" s="285">
        <f t="shared" si="92"/>
        <v>0</v>
      </c>
      <c r="W172" s="287"/>
      <c r="X172" s="287"/>
      <c r="Y172" s="285"/>
      <c r="Z172" s="286">
        <f t="shared" si="93"/>
        <v>0</v>
      </c>
      <c r="AB172" s="62" t="s">
        <v>185</v>
      </c>
      <c r="AC172" s="130" t="s">
        <v>185</v>
      </c>
      <c r="AD172" s="62" t="s">
        <v>185</v>
      </c>
      <c r="AE172" s="130" t="s">
        <v>185</v>
      </c>
      <c r="AF172" s="62" t="str">
        <f t="shared" si="94"/>
        <v>-</v>
      </c>
      <c r="AG172" s="130" t="str">
        <f t="shared" si="95"/>
        <v>-</v>
      </c>
      <c r="AH172" s="62"/>
      <c r="AI172" s="63"/>
      <c r="AJ172" s="130"/>
      <c r="AK172" s="130"/>
      <c r="AL172" s="62"/>
      <c r="AM172" s="63"/>
      <c r="AO172" s="73">
        <f t="shared" si="96"/>
        <v>0</v>
      </c>
      <c r="AP172" s="73">
        <f t="shared" si="97"/>
        <v>0</v>
      </c>
      <c r="AQ172" s="73">
        <f t="shared" si="98"/>
        <v>20</v>
      </c>
      <c r="AR172" s="73" t="str">
        <f t="shared" si="99"/>
        <v>Kevés v.</v>
      </c>
      <c r="AT172" s="273" t="str">
        <f t="shared" si="100"/>
        <v/>
      </c>
      <c r="AU172" s="273" t="str">
        <f t="shared" si="101"/>
        <v/>
      </c>
      <c r="AV172" s="273" t="str">
        <f t="shared" si="89"/>
        <v/>
      </c>
      <c r="AW172" s="273" t="str">
        <f t="shared" si="103"/>
        <v/>
      </c>
      <c r="AX172" s="274"/>
      <c r="AY172" s="313">
        <f t="shared" si="102"/>
        <v>0</v>
      </c>
    </row>
    <row r="173" spans="1:51" x14ac:dyDescent="0.3">
      <c r="A173" s="68">
        <v>168</v>
      </c>
      <c r="B173" s="141"/>
      <c r="C173" s="250"/>
      <c r="D173" s="143"/>
      <c r="E173" s="142"/>
      <c r="F173" s="145"/>
      <c r="G173" s="66"/>
      <c r="H173" s="53"/>
      <c r="I173" s="52"/>
      <c r="J173" s="182"/>
      <c r="K173" s="135"/>
      <c r="L173" s="127">
        <v>20</v>
      </c>
      <c r="M173" s="127">
        <v>20</v>
      </c>
      <c r="N173" s="127">
        <f t="shared" si="90"/>
        <v>20</v>
      </c>
      <c r="O173" s="127"/>
      <c r="P173" s="127"/>
      <c r="Q173" s="127"/>
      <c r="R173" s="128">
        <f t="shared" si="91"/>
        <v>60</v>
      </c>
      <c r="T173" s="285">
        <v>0</v>
      </c>
      <c r="U173" s="285">
        <v>0</v>
      </c>
      <c r="V173" s="285">
        <f t="shared" si="92"/>
        <v>0</v>
      </c>
      <c r="W173" s="287"/>
      <c r="X173" s="287"/>
      <c r="Y173" s="285"/>
      <c r="Z173" s="286">
        <f t="shared" si="93"/>
        <v>0</v>
      </c>
      <c r="AB173" s="62" t="s">
        <v>185</v>
      </c>
      <c r="AC173" s="130" t="s">
        <v>185</v>
      </c>
      <c r="AD173" s="62" t="s">
        <v>185</v>
      </c>
      <c r="AE173" s="130" t="s">
        <v>185</v>
      </c>
      <c r="AF173" s="62" t="str">
        <f t="shared" si="94"/>
        <v>-</v>
      </c>
      <c r="AG173" s="130" t="str">
        <f t="shared" si="95"/>
        <v>-</v>
      </c>
      <c r="AH173" s="62"/>
      <c r="AI173" s="63"/>
      <c r="AJ173" s="130"/>
      <c r="AK173" s="130"/>
      <c r="AL173" s="62"/>
      <c r="AM173" s="63"/>
      <c r="AO173" s="73">
        <f t="shared" si="96"/>
        <v>0</v>
      </c>
      <c r="AP173" s="73">
        <f t="shared" si="97"/>
        <v>0</v>
      </c>
      <c r="AQ173" s="73">
        <f t="shared" si="98"/>
        <v>20</v>
      </c>
      <c r="AR173" s="73" t="str">
        <f t="shared" si="99"/>
        <v>Kevés v.</v>
      </c>
      <c r="AT173" s="273" t="str">
        <f t="shared" si="100"/>
        <v/>
      </c>
      <c r="AU173" s="273" t="str">
        <f t="shared" si="101"/>
        <v/>
      </c>
      <c r="AV173" s="273" t="str">
        <f t="shared" si="89"/>
        <v/>
      </c>
      <c r="AW173" s="273" t="str">
        <f t="shared" si="103"/>
        <v/>
      </c>
      <c r="AX173" s="274"/>
      <c r="AY173" s="313">
        <f t="shared" si="102"/>
        <v>0</v>
      </c>
    </row>
    <row r="174" spans="1:51" x14ac:dyDescent="0.3">
      <c r="A174" s="68">
        <v>169</v>
      </c>
      <c r="B174" s="141"/>
      <c r="C174" s="141"/>
      <c r="D174" s="143"/>
      <c r="E174" s="142"/>
      <c r="F174" s="145"/>
      <c r="G174" s="66"/>
      <c r="H174" s="53"/>
      <c r="I174" s="52"/>
      <c r="J174" s="182"/>
      <c r="K174" s="135"/>
      <c r="L174" s="127">
        <v>20</v>
      </c>
      <c r="M174" s="127">
        <v>20</v>
      </c>
      <c r="N174" s="127">
        <f t="shared" si="90"/>
        <v>20</v>
      </c>
      <c r="O174" s="127"/>
      <c r="P174" s="127"/>
      <c r="Q174" s="127"/>
      <c r="R174" s="128">
        <f t="shared" si="91"/>
        <v>60</v>
      </c>
      <c r="T174" s="285">
        <v>0</v>
      </c>
      <c r="U174" s="285">
        <v>0</v>
      </c>
      <c r="V174" s="285">
        <f t="shared" si="92"/>
        <v>0</v>
      </c>
      <c r="W174" s="287"/>
      <c r="X174" s="287"/>
      <c r="Y174" s="285"/>
      <c r="Z174" s="286">
        <f t="shared" si="93"/>
        <v>0</v>
      </c>
      <c r="AB174" s="62" t="s">
        <v>185</v>
      </c>
      <c r="AC174" s="130" t="s">
        <v>185</v>
      </c>
      <c r="AD174" s="62" t="s">
        <v>185</v>
      </c>
      <c r="AE174" s="130" t="s">
        <v>185</v>
      </c>
      <c r="AF174" s="62" t="str">
        <f t="shared" si="94"/>
        <v>-</v>
      </c>
      <c r="AG174" s="130" t="str">
        <f t="shared" si="95"/>
        <v>-</v>
      </c>
      <c r="AH174" s="62"/>
      <c r="AI174" s="63"/>
      <c r="AJ174" s="130"/>
      <c r="AK174" s="130"/>
      <c r="AL174" s="62"/>
      <c r="AM174" s="63"/>
      <c r="AO174" s="73">
        <f t="shared" si="96"/>
        <v>0</v>
      </c>
      <c r="AP174" s="73">
        <f t="shared" si="97"/>
        <v>0</v>
      </c>
      <c r="AQ174" s="73">
        <f t="shared" si="98"/>
        <v>20</v>
      </c>
      <c r="AR174" s="73" t="str">
        <f t="shared" si="99"/>
        <v>Kevés v.</v>
      </c>
      <c r="AT174" s="273" t="str">
        <f t="shared" si="100"/>
        <v/>
      </c>
      <c r="AU174" s="273" t="str">
        <f t="shared" si="101"/>
        <v/>
      </c>
      <c r="AV174" s="273" t="str">
        <f t="shared" si="89"/>
        <v/>
      </c>
      <c r="AW174" s="273" t="str">
        <f t="shared" si="103"/>
        <v/>
      </c>
      <c r="AX174" s="274"/>
      <c r="AY174" s="313">
        <f t="shared" si="102"/>
        <v>0</v>
      </c>
    </row>
    <row r="175" spans="1:51" x14ac:dyDescent="0.3">
      <c r="A175" s="68">
        <v>170</v>
      </c>
      <c r="B175" s="141"/>
      <c r="C175" s="141"/>
      <c r="D175" s="143"/>
      <c r="E175" s="142"/>
      <c r="F175" s="145"/>
      <c r="G175" s="66"/>
      <c r="H175" s="53"/>
      <c r="I175" s="52"/>
      <c r="J175" s="182"/>
      <c r="K175" s="135"/>
      <c r="L175" s="127">
        <v>20</v>
      </c>
      <c r="M175" s="127">
        <v>20</v>
      </c>
      <c r="N175" s="127">
        <f t="shared" si="90"/>
        <v>20</v>
      </c>
      <c r="O175" s="127"/>
      <c r="P175" s="127"/>
      <c r="Q175" s="127"/>
      <c r="R175" s="128">
        <f t="shared" si="91"/>
        <v>60</v>
      </c>
      <c r="T175" s="285">
        <v>0</v>
      </c>
      <c r="U175" s="285">
        <v>0</v>
      </c>
      <c r="V175" s="285">
        <f t="shared" si="92"/>
        <v>0</v>
      </c>
      <c r="W175" s="287"/>
      <c r="X175" s="287"/>
      <c r="Y175" s="285"/>
      <c r="Z175" s="286">
        <f t="shared" si="93"/>
        <v>0</v>
      </c>
      <c r="AB175" s="62" t="s">
        <v>185</v>
      </c>
      <c r="AC175" s="130" t="s">
        <v>185</v>
      </c>
      <c r="AD175" s="62" t="s">
        <v>185</v>
      </c>
      <c r="AE175" s="130" t="s">
        <v>185</v>
      </c>
      <c r="AF175" s="62" t="str">
        <f t="shared" si="94"/>
        <v>-</v>
      </c>
      <c r="AG175" s="130" t="str">
        <f t="shared" si="95"/>
        <v>-</v>
      </c>
      <c r="AH175" s="62"/>
      <c r="AI175" s="63"/>
      <c r="AJ175" s="130"/>
      <c r="AK175" s="130"/>
      <c r="AL175" s="62"/>
      <c r="AM175" s="63"/>
      <c r="AO175" s="73">
        <f t="shared" si="96"/>
        <v>0</v>
      </c>
      <c r="AP175" s="73">
        <f t="shared" si="97"/>
        <v>0</v>
      </c>
      <c r="AQ175" s="73">
        <f t="shared" si="98"/>
        <v>20</v>
      </c>
      <c r="AR175" s="73" t="str">
        <f t="shared" si="99"/>
        <v>Kevés v.</v>
      </c>
      <c r="AT175" s="273" t="str">
        <f t="shared" si="100"/>
        <v/>
      </c>
      <c r="AU175" s="273" t="str">
        <f t="shared" si="101"/>
        <v/>
      </c>
      <c r="AV175" s="273" t="str">
        <f t="shared" si="89"/>
        <v/>
      </c>
      <c r="AW175" s="273" t="str">
        <f t="shared" si="103"/>
        <v/>
      </c>
      <c r="AX175" s="274"/>
      <c r="AY175" s="313">
        <f t="shared" si="102"/>
        <v>0</v>
      </c>
    </row>
    <row r="176" spans="1:51" x14ac:dyDescent="0.3">
      <c r="A176" s="68">
        <v>171</v>
      </c>
      <c r="B176" s="141"/>
      <c r="C176" s="141"/>
      <c r="D176" s="143"/>
      <c r="E176" s="142"/>
      <c r="F176" s="145"/>
      <c r="G176" s="66"/>
      <c r="H176" s="53"/>
      <c r="I176" s="52"/>
      <c r="J176" s="182"/>
      <c r="K176" s="135"/>
      <c r="L176" s="127">
        <v>20</v>
      </c>
      <c r="M176" s="127">
        <v>20</v>
      </c>
      <c r="N176" s="127">
        <f t="shared" si="90"/>
        <v>20</v>
      </c>
      <c r="O176" s="127"/>
      <c r="P176" s="127"/>
      <c r="Q176" s="127"/>
      <c r="R176" s="128">
        <f t="shared" si="91"/>
        <v>60</v>
      </c>
      <c r="T176" s="285">
        <v>0</v>
      </c>
      <c r="U176" s="285">
        <v>0</v>
      </c>
      <c r="V176" s="285">
        <f t="shared" si="92"/>
        <v>0</v>
      </c>
      <c r="W176" s="287"/>
      <c r="X176" s="287"/>
      <c r="Y176" s="285"/>
      <c r="Z176" s="286">
        <f t="shared" si="93"/>
        <v>0</v>
      </c>
      <c r="AB176" s="62" t="s">
        <v>185</v>
      </c>
      <c r="AC176" s="130" t="s">
        <v>185</v>
      </c>
      <c r="AD176" s="62" t="s">
        <v>185</v>
      </c>
      <c r="AE176" s="130" t="s">
        <v>185</v>
      </c>
      <c r="AF176" s="62" t="str">
        <f t="shared" si="94"/>
        <v>-</v>
      </c>
      <c r="AG176" s="130" t="str">
        <f t="shared" si="95"/>
        <v>-</v>
      </c>
      <c r="AH176" s="62"/>
      <c r="AI176" s="63"/>
      <c r="AJ176" s="130"/>
      <c r="AK176" s="130"/>
      <c r="AL176" s="62"/>
      <c r="AM176" s="63"/>
      <c r="AO176" s="73">
        <f t="shared" si="96"/>
        <v>0</v>
      </c>
      <c r="AP176" s="73">
        <f t="shared" si="97"/>
        <v>0</v>
      </c>
      <c r="AQ176" s="73">
        <f t="shared" si="98"/>
        <v>20</v>
      </c>
      <c r="AR176" s="73" t="str">
        <f t="shared" si="99"/>
        <v>Kevés v.</v>
      </c>
      <c r="AT176" s="273" t="str">
        <f t="shared" si="100"/>
        <v/>
      </c>
      <c r="AU176" s="273" t="str">
        <f t="shared" si="101"/>
        <v/>
      </c>
      <c r="AV176" s="273" t="str">
        <f t="shared" si="89"/>
        <v/>
      </c>
      <c r="AW176" s="273" t="str">
        <f t="shared" si="103"/>
        <v/>
      </c>
      <c r="AX176" s="274"/>
      <c r="AY176" s="313">
        <f t="shared" si="102"/>
        <v>0</v>
      </c>
    </row>
    <row r="177" spans="1:51" x14ac:dyDescent="0.3">
      <c r="A177" s="68">
        <v>172</v>
      </c>
      <c r="B177" s="141"/>
      <c r="C177" s="141"/>
      <c r="D177" s="142"/>
      <c r="E177" s="142"/>
      <c r="F177" s="145"/>
      <c r="G177" s="66"/>
      <c r="H177" s="53"/>
      <c r="I177" s="52"/>
      <c r="J177" s="182"/>
      <c r="K177" s="135"/>
      <c r="L177" s="127">
        <v>20</v>
      </c>
      <c r="M177" s="127">
        <v>20</v>
      </c>
      <c r="N177" s="127">
        <f t="shared" si="90"/>
        <v>20</v>
      </c>
      <c r="O177" s="127"/>
      <c r="P177" s="127"/>
      <c r="Q177" s="127"/>
      <c r="R177" s="128">
        <f t="shared" si="91"/>
        <v>60</v>
      </c>
      <c r="T177" s="285">
        <v>0</v>
      </c>
      <c r="U177" s="285">
        <v>0</v>
      </c>
      <c r="V177" s="285">
        <f t="shared" si="92"/>
        <v>0</v>
      </c>
      <c r="W177" s="287"/>
      <c r="X177" s="287"/>
      <c r="Y177" s="285"/>
      <c r="Z177" s="286">
        <f t="shared" si="93"/>
        <v>0</v>
      </c>
      <c r="AB177" s="62" t="s">
        <v>185</v>
      </c>
      <c r="AC177" s="130" t="s">
        <v>185</v>
      </c>
      <c r="AD177" s="62" t="s">
        <v>185</v>
      </c>
      <c r="AE177" s="130" t="s">
        <v>185</v>
      </c>
      <c r="AF177" s="62" t="str">
        <f t="shared" si="94"/>
        <v>-</v>
      </c>
      <c r="AG177" s="130" t="str">
        <f t="shared" si="95"/>
        <v>-</v>
      </c>
      <c r="AH177" s="62"/>
      <c r="AI177" s="63"/>
      <c r="AJ177" s="130"/>
      <c r="AK177" s="130"/>
      <c r="AL177" s="62"/>
      <c r="AM177" s="63"/>
      <c r="AO177" s="73">
        <f t="shared" si="96"/>
        <v>0</v>
      </c>
      <c r="AP177" s="73">
        <f t="shared" si="97"/>
        <v>0</v>
      </c>
      <c r="AQ177" s="73">
        <f t="shared" si="98"/>
        <v>20</v>
      </c>
      <c r="AR177" s="73" t="str">
        <f t="shared" si="99"/>
        <v>Kevés v.</v>
      </c>
      <c r="AT177" s="273" t="str">
        <f t="shared" si="100"/>
        <v/>
      </c>
      <c r="AU177" s="273" t="str">
        <f t="shared" si="101"/>
        <v/>
      </c>
      <c r="AV177" s="273" t="str">
        <f t="shared" si="89"/>
        <v/>
      </c>
      <c r="AW177" s="273" t="str">
        <f t="shared" si="103"/>
        <v/>
      </c>
      <c r="AX177" s="274"/>
      <c r="AY177" s="313">
        <f t="shared" si="102"/>
        <v>0</v>
      </c>
    </row>
    <row r="178" spans="1:51" x14ac:dyDescent="0.3">
      <c r="A178" s="68">
        <v>173</v>
      </c>
      <c r="B178" s="141"/>
      <c r="C178" s="141"/>
      <c r="D178" s="142"/>
      <c r="E178" s="142"/>
      <c r="F178" s="145"/>
      <c r="G178" s="66"/>
      <c r="H178" s="53"/>
      <c r="I178" s="52"/>
      <c r="J178" s="182"/>
      <c r="K178" s="135"/>
      <c r="L178" s="127">
        <v>20</v>
      </c>
      <c r="M178" s="127">
        <v>20</v>
      </c>
      <c r="N178" s="127">
        <f t="shared" si="90"/>
        <v>20</v>
      </c>
      <c r="O178" s="127"/>
      <c r="P178" s="127"/>
      <c r="Q178" s="127"/>
      <c r="R178" s="128">
        <f t="shared" si="91"/>
        <v>60</v>
      </c>
      <c r="T178" s="285">
        <v>0</v>
      </c>
      <c r="U178" s="285">
        <v>0</v>
      </c>
      <c r="V178" s="285">
        <f t="shared" si="92"/>
        <v>0</v>
      </c>
      <c r="W178" s="287"/>
      <c r="X178" s="287"/>
      <c r="Y178" s="285"/>
      <c r="Z178" s="286">
        <f t="shared" si="93"/>
        <v>0</v>
      </c>
      <c r="AB178" s="62" t="s">
        <v>185</v>
      </c>
      <c r="AC178" s="130" t="s">
        <v>185</v>
      </c>
      <c r="AD178" s="62" t="s">
        <v>185</v>
      </c>
      <c r="AE178" s="130" t="s">
        <v>185</v>
      </c>
      <c r="AF178" s="62" t="str">
        <f t="shared" si="94"/>
        <v>-</v>
      </c>
      <c r="AG178" s="130" t="str">
        <f t="shared" si="95"/>
        <v>-</v>
      </c>
      <c r="AH178" s="62"/>
      <c r="AI178" s="63"/>
      <c r="AJ178" s="130"/>
      <c r="AK178" s="130"/>
      <c r="AL178" s="62"/>
      <c r="AM178" s="63"/>
      <c r="AO178" s="73">
        <f t="shared" si="96"/>
        <v>0</v>
      </c>
      <c r="AP178" s="73">
        <f t="shared" si="97"/>
        <v>0</v>
      </c>
      <c r="AQ178" s="73">
        <f t="shared" si="98"/>
        <v>20</v>
      </c>
      <c r="AR178" s="73" t="str">
        <f t="shared" si="99"/>
        <v>Kevés v.</v>
      </c>
      <c r="AT178" s="273" t="str">
        <f t="shared" si="100"/>
        <v/>
      </c>
      <c r="AU178" s="273" t="str">
        <f t="shared" si="101"/>
        <v/>
      </c>
      <c r="AV178" s="273" t="str">
        <f t="shared" ref="AV178:AV199" si="104">IF(F178=6,IF(E178="felnőtt",41500,IF(E178="ifjúsági",33000,IF(E178="női",33000,IF(E178="gyermek",5000,"")))),"")</f>
        <v/>
      </c>
      <c r="AW178" s="273" t="str">
        <f t="shared" si="103"/>
        <v/>
      </c>
      <c r="AX178" s="274"/>
      <c r="AY178" s="313">
        <f t="shared" si="102"/>
        <v>0</v>
      </c>
    </row>
    <row r="179" spans="1:51" x14ac:dyDescent="0.3">
      <c r="A179" s="68">
        <v>174</v>
      </c>
      <c r="B179" s="141"/>
      <c r="C179" s="141"/>
      <c r="D179" s="142"/>
      <c r="E179" s="142"/>
      <c r="F179" s="145"/>
      <c r="G179" s="66"/>
      <c r="H179" s="53"/>
      <c r="I179" s="52"/>
      <c r="J179" s="182"/>
      <c r="K179" s="135"/>
      <c r="L179" s="127">
        <v>20</v>
      </c>
      <c r="M179" s="127">
        <v>20</v>
      </c>
      <c r="N179" s="127">
        <f t="shared" si="90"/>
        <v>20</v>
      </c>
      <c r="O179" s="127"/>
      <c r="P179" s="127"/>
      <c r="Q179" s="127"/>
      <c r="R179" s="128">
        <f t="shared" si="91"/>
        <v>60</v>
      </c>
      <c r="T179" s="285">
        <v>0</v>
      </c>
      <c r="U179" s="285">
        <v>0</v>
      </c>
      <c r="V179" s="285">
        <f t="shared" si="92"/>
        <v>0</v>
      </c>
      <c r="W179" s="287"/>
      <c r="X179" s="287"/>
      <c r="Y179" s="285"/>
      <c r="Z179" s="286">
        <f t="shared" si="93"/>
        <v>0</v>
      </c>
      <c r="AB179" s="62" t="s">
        <v>185</v>
      </c>
      <c r="AC179" s="130" t="s">
        <v>185</v>
      </c>
      <c r="AD179" s="62" t="s">
        <v>185</v>
      </c>
      <c r="AE179" s="130" t="s">
        <v>185</v>
      </c>
      <c r="AF179" s="62" t="str">
        <f t="shared" si="94"/>
        <v>-</v>
      </c>
      <c r="AG179" s="130" t="str">
        <f t="shared" si="95"/>
        <v>-</v>
      </c>
      <c r="AH179" s="62"/>
      <c r="AI179" s="63"/>
      <c r="AJ179" s="130"/>
      <c r="AK179" s="130"/>
      <c r="AL179" s="62"/>
      <c r="AM179" s="63"/>
      <c r="AO179" s="73">
        <f t="shared" si="96"/>
        <v>0</v>
      </c>
      <c r="AP179" s="73">
        <f t="shared" si="97"/>
        <v>0</v>
      </c>
      <c r="AQ179" s="73">
        <f t="shared" si="98"/>
        <v>20</v>
      </c>
      <c r="AR179" s="73" t="str">
        <f t="shared" si="99"/>
        <v>Kevés v.</v>
      </c>
      <c r="AT179" s="273" t="str">
        <f t="shared" si="100"/>
        <v/>
      </c>
      <c r="AU179" s="273" t="str">
        <f t="shared" si="101"/>
        <v/>
      </c>
      <c r="AV179" s="273" t="str">
        <f t="shared" si="104"/>
        <v/>
      </c>
      <c r="AW179" s="273" t="str">
        <f t="shared" si="103"/>
        <v/>
      </c>
      <c r="AX179" s="274"/>
      <c r="AY179" s="313">
        <f t="shared" si="102"/>
        <v>0</v>
      </c>
    </row>
    <row r="180" spans="1:51" x14ac:dyDescent="0.3">
      <c r="A180" s="68">
        <v>175</v>
      </c>
      <c r="B180" s="141"/>
      <c r="C180" s="141"/>
      <c r="D180" s="142"/>
      <c r="E180" s="142"/>
      <c r="F180" s="145"/>
      <c r="G180" s="66"/>
      <c r="H180" s="53"/>
      <c r="I180" s="52"/>
      <c r="J180" s="182"/>
      <c r="K180" s="135"/>
      <c r="L180" s="127">
        <v>20</v>
      </c>
      <c r="M180" s="127">
        <v>20</v>
      </c>
      <c r="N180" s="127">
        <f t="shared" si="90"/>
        <v>20</v>
      </c>
      <c r="O180" s="127"/>
      <c r="P180" s="127"/>
      <c r="Q180" s="127"/>
      <c r="R180" s="128">
        <f t="shared" si="91"/>
        <v>60</v>
      </c>
      <c r="T180" s="285">
        <v>0</v>
      </c>
      <c r="U180" s="285">
        <v>0</v>
      </c>
      <c r="V180" s="285">
        <f t="shared" si="92"/>
        <v>0</v>
      </c>
      <c r="W180" s="287"/>
      <c r="X180" s="287"/>
      <c r="Y180" s="285"/>
      <c r="Z180" s="286">
        <f t="shared" si="93"/>
        <v>0</v>
      </c>
      <c r="AB180" s="62" t="s">
        <v>185</v>
      </c>
      <c r="AC180" s="130" t="s">
        <v>185</v>
      </c>
      <c r="AD180" s="62" t="s">
        <v>185</v>
      </c>
      <c r="AE180" s="130" t="s">
        <v>185</v>
      </c>
      <c r="AF180" s="62" t="str">
        <f t="shared" si="94"/>
        <v>-</v>
      </c>
      <c r="AG180" s="130" t="str">
        <f t="shared" si="95"/>
        <v>-</v>
      </c>
      <c r="AH180" s="62"/>
      <c r="AI180" s="63"/>
      <c r="AJ180" s="130"/>
      <c r="AK180" s="130"/>
      <c r="AL180" s="62"/>
      <c r="AM180" s="63"/>
      <c r="AO180" s="73">
        <f t="shared" si="96"/>
        <v>0</v>
      </c>
      <c r="AP180" s="73">
        <f t="shared" si="97"/>
        <v>0</v>
      </c>
      <c r="AQ180" s="73">
        <f t="shared" si="98"/>
        <v>20</v>
      </c>
      <c r="AR180" s="73" t="str">
        <f t="shared" si="99"/>
        <v>Kevés v.</v>
      </c>
      <c r="AT180" s="273" t="str">
        <f t="shared" si="100"/>
        <v/>
      </c>
      <c r="AU180" s="273" t="str">
        <f t="shared" si="101"/>
        <v/>
      </c>
      <c r="AV180" s="273" t="str">
        <f t="shared" si="104"/>
        <v/>
      </c>
      <c r="AW180" s="273" t="str">
        <f t="shared" si="103"/>
        <v/>
      </c>
      <c r="AX180" s="274"/>
      <c r="AY180" s="313">
        <f t="shared" si="102"/>
        <v>0</v>
      </c>
    </row>
    <row r="181" spans="1:51" x14ac:dyDescent="0.3">
      <c r="A181" s="68">
        <v>176</v>
      </c>
      <c r="B181" s="141"/>
      <c r="C181" s="141"/>
      <c r="D181" s="142"/>
      <c r="E181" s="142"/>
      <c r="F181" s="145"/>
      <c r="G181" s="66"/>
      <c r="H181" s="53"/>
      <c r="I181" s="52"/>
      <c r="J181" s="182"/>
      <c r="K181" s="135"/>
      <c r="L181" s="127">
        <v>20</v>
      </c>
      <c r="M181" s="127">
        <v>20</v>
      </c>
      <c r="N181" s="127">
        <f t="shared" si="90"/>
        <v>20</v>
      </c>
      <c r="O181" s="127"/>
      <c r="P181" s="127"/>
      <c r="Q181" s="127"/>
      <c r="R181" s="128">
        <f t="shared" si="91"/>
        <v>60</v>
      </c>
      <c r="T181" s="285">
        <v>0</v>
      </c>
      <c r="U181" s="285">
        <v>0</v>
      </c>
      <c r="V181" s="285">
        <f t="shared" si="92"/>
        <v>0</v>
      </c>
      <c r="W181" s="287"/>
      <c r="X181" s="287"/>
      <c r="Y181" s="285"/>
      <c r="Z181" s="286">
        <f t="shared" si="93"/>
        <v>0</v>
      </c>
      <c r="AB181" s="62" t="s">
        <v>185</v>
      </c>
      <c r="AC181" s="130" t="s">
        <v>185</v>
      </c>
      <c r="AD181" s="62" t="s">
        <v>185</v>
      </c>
      <c r="AE181" s="130" t="s">
        <v>185</v>
      </c>
      <c r="AF181" s="62" t="str">
        <f t="shared" si="94"/>
        <v>-</v>
      </c>
      <c r="AG181" s="130" t="str">
        <f t="shared" si="95"/>
        <v>-</v>
      </c>
      <c r="AH181" s="62"/>
      <c r="AI181" s="63"/>
      <c r="AJ181" s="130"/>
      <c r="AK181" s="130"/>
      <c r="AL181" s="62"/>
      <c r="AM181" s="63"/>
      <c r="AO181" s="73">
        <f t="shared" si="96"/>
        <v>0</v>
      </c>
      <c r="AP181" s="73">
        <f t="shared" si="97"/>
        <v>0</v>
      </c>
      <c r="AQ181" s="73">
        <f t="shared" si="98"/>
        <v>20</v>
      </c>
      <c r="AR181" s="73" t="str">
        <f t="shared" si="99"/>
        <v>Kevés v.</v>
      </c>
      <c r="AT181" s="273" t="str">
        <f t="shared" si="100"/>
        <v/>
      </c>
      <c r="AU181" s="273" t="str">
        <f t="shared" si="101"/>
        <v/>
      </c>
      <c r="AV181" s="273" t="str">
        <f t="shared" si="104"/>
        <v/>
      </c>
      <c r="AW181" s="273" t="str">
        <f t="shared" si="103"/>
        <v/>
      </c>
      <c r="AX181" s="274"/>
      <c r="AY181" s="313">
        <f t="shared" si="102"/>
        <v>0</v>
      </c>
    </row>
    <row r="182" spans="1:51" x14ac:dyDescent="0.3">
      <c r="A182" s="68">
        <v>177</v>
      </c>
      <c r="B182" s="141"/>
      <c r="C182" s="141"/>
      <c r="D182" s="142"/>
      <c r="E182" s="142"/>
      <c r="F182" s="145"/>
      <c r="G182" s="66"/>
      <c r="H182" s="53"/>
      <c r="I182" s="52"/>
      <c r="J182" s="182"/>
      <c r="K182" s="135"/>
      <c r="L182" s="127">
        <v>20</v>
      </c>
      <c r="M182" s="127">
        <v>20</v>
      </c>
      <c r="N182" s="127">
        <f t="shared" si="90"/>
        <v>20</v>
      </c>
      <c r="O182" s="127"/>
      <c r="P182" s="127"/>
      <c r="Q182" s="127"/>
      <c r="R182" s="128">
        <f t="shared" si="91"/>
        <v>60</v>
      </c>
      <c r="T182" s="285">
        <v>0</v>
      </c>
      <c r="U182" s="285">
        <v>0</v>
      </c>
      <c r="V182" s="285">
        <f t="shared" si="92"/>
        <v>0</v>
      </c>
      <c r="W182" s="287"/>
      <c r="X182" s="287"/>
      <c r="Y182" s="285"/>
      <c r="Z182" s="286">
        <f t="shared" si="93"/>
        <v>0</v>
      </c>
      <c r="AB182" s="62" t="s">
        <v>185</v>
      </c>
      <c r="AC182" s="130" t="s">
        <v>185</v>
      </c>
      <c r="AD182" s="62" t="s">
        <v>185</v>
      </c>
      <c r="AE182" s="130" t="s">
        <v>185</v>
      </c>
      <c r="AF182" s="62" t="str">
        <f t="shared" si="94"/>
        <v>-</v>
      </c>
      <c r="AG182" s="130" t="str">
        <f t="shared" si="95"/>
        <v>-</v>
      </c>
      <c r="AH182" s="62"/>
      <c r="AI182" s="63"/>
      <c r="AJ182" s="130"/>
      <c r="AK182" s="130"/>
      <c r="AL182" s="62"/>
      <c r="AM182" s="63"/>
      <c r="AO182" s="73">
        <f t="shared" si="96"/>
        <v>0</v>
      </c>
      <c r="AP182" s="73">
        <f t="shared" si="97"/>
        <v>0</v>
      </c>
      <c r="AQ182" s="73">
        <f t="shared" si="98"/>
        <v>20</v>
      </c>
      <c r="AR182" s="73" t="str">
        <f t="shared" si="99"/>
        <v>Kevés v.</v>
      </c>
      <c r="AT182" s="273" t="str">
        <f t="shared" si="100"/>
        <v/>
      </c>
      <c r="AU182" s="273" t="str">
        <f t="shared" si="101"/>
        <v/>
      </c>
      <c r="AV182" s="273" t="str">
        <f t="shared" si="104"/>
        <v/>
      </c>
      <c r="AW182" s="273" t="str">
        <f t="shared" si="103"/>
        <v/>
      </c>
      <c r="AX182" s="274"/>
      <c r="AY182" s="313">
        <f t="shared" si="102"/>
        <v>0</v>
      </c>
    </row>
    <row r="183" spans="1:51" x14ac:dyDescent="0.3">
      <c r="A183" s="68">
        <v>178</v>
      </c>
      <c r="B183" s="141"/>
      <c r="C183" s="141"/>
      <c r="D183" s="142"/>
      <c r="E183" s="142"/>
      <c r="F183" s="145"/>
      <c r="G183" s="66"/>
      <c r="H183" s="53"/>
      <c r="I183" s="52"/>
      <c r="J183" s="182"/>
      <c r="K183" s="135"/>
      <c r="L183" s="127">
        <v>20</v>
      </c>
      <c r="M183" s="127">
        <v>20</v>
      </c>
      <c r="N183" s="127">
        <f t="shared" si="90"/>
        <v>20</v>
      </c>
      <c r="O183" s="127"/>
      <c r="P183" s="127"/>
      <c r="Q183" s="127"/>
      <c r="R183" s="128">
        <f t="shared" si="91"/>
        <v>60</v>
      </c>
      <c r="T183" s="285">
        <v>0</v>
      </c>
      <c r="U183" s="285">
        <v>0</v>
      </c>
      <c r="V183" s="285">
        <f t="shared" si="92"/>
        <v>0</v>
      </c>
      <c r="W183" s="287"/>
      <c r="X183" s="287"/>
      <c r="Y183" s="285"/>
      <c r="Z183" s="286">
        <f t="shared" si="93"/>
        <v>0</v>
      </c>
      <c r="AB183" s="62" t="s">
        <v>185</v>
      </c>
      <c r="AC183" s="130" t="s">
        <v>185</v>
      </c>
      <c r="AD183" s="62" t="s">
        <v>185</v>
      </c>
      <c r="AE183" s="130" t="s">
        <v>185</v>
      </c>
      <c r="AF183" s="62" t="str">
        <f t="shared" si="94"/>
        <v>-</v>
      </c>
      <c r="AG183" s="130" t="str">
        <f t="shared" si="95"/>
        <v>-</v>
      </c>
      <c r="AH183" s="62"/>
      <c r="AI183" s="63"/>
      <c r="AJ183" s="130"/>
      <c r="AK183" s="130"/>
      <c r="AL183" s="62"/>
      <c r="AM183" s="63"/>
      <c r="AO183" s="73">
        <f t="shared" si="96"/>
        <v>0</v>
      </c>
      <c r="AP183" s="73">
        <f t="shared" si="97"/>
        <v>0</v>
      </c>
      <c r="AQ183" s="73">
        <f t="shared" si="98"/>
        <v>20</v>
      </c>
      <c r="AR183" s="73" t="str">
        <f t="shared" si="99"/>
        <v>Kevés v.</v>
      </c>
      <c r="AT183" s="273" t="str">
        <f t="shared" si="100"/>
        <v/>
      </c>
      <c r="AU183" s="273" t="str">
        <f t="shared" si="101"/>
        <v/>
      </c>
      <c r="AV183" s="273" t="str">
        <f t="shared" si="104"/>
        <v/>
      </c>
      <c r="AW183" s="273" t="str">
        <f t="shared" si="103"/>
        <v/>
      </c>
      <c r="AX183" s="274"/>
      <c r="AY183" s="313">
        <f t="shared" si="102"/>
        <v>0</v>
      </c>
    </row>
    <row r="184" spans="1:51" x14ac:dyDescent="0.3">
      <c r="A184" s="68">
        <v>179</v>
      </c>
      <c r="B184" s="250"/>
      <c r="C184" s="141"/>
      <c r="D184" s="142"/>
      <c r="E184" s="142"/>
      <c r="F184" s="145"/>
      <c r="G184" s="66"/>
      <c r="H184" s="53"/>
      <c r="I184" s="52"/>
      <c r="J184" s="182"/>
      <c r="K184" s="135"/>
      <c r="L184" s="127">
        <v>20</v>
      </c>
      <c r="M184" s="127">
        <v>20</v>
      </c>
      <c r="N184" s="127">
        <f t="shared" si="90"/>
        <v>20</v>
      </c>
      <c r="O184" s="127"/>
      <c r="P184" s="127"/>
      <c r="Q184" s="127"/>
      <c r="R184" s="128">
        <f t="shared" si="91"/>
        <v>60</v>
      </c>
      <c r="T184" s="285">
        <v>0</v>
      </c>
      <c r="U184" s="285">
        <v>0</v>
      </c>
      <c r="V184" s="285">
        <f t="shared" si="92"/>
        <v>0</v>
      </c>
      <c r="W184" s="287"/>
      <c r="X184" s="287"/>
      <c r="Y184" s="285"/>
      <c r="Z184" s="286">
        <f t="shared" si="93"/>
        <v>0</v>
      </c>
      <c r="AB184" s="62" t="s">
        <v>185</v>
      </c>
      <c r="AC184" s="130" t="s">
        <v>185</v>
      </c>
      <c r="AD184" s="62" t="s">
        <v>185</v>
      </c>
      <c r="AE184" s="130" t="s">
        <v>185</v>
      </c>
      <c r="AF184" s="62" t="str">
        <f t="shared" si="94"/>
        <v>-</v>
      </c>
      <c r="AG184" s="130" t="str">
        <f t="shared" si="95"/>
        <v>-</v>
      </c>
      <c r="AH184" s="62"/>
      <c r="AI184" s="63"/>
      <c r="AJ184" s="130"/>
      <c r="AK184" s="130"/>
      <c r="AL184" s="62"/>
      <c r="AM184" s="63"/>
      <c r="AO184" s="73">
        <f t="shared" si="96"/>
        <v>0</v>
      </c>
      <c r="AP184" s="73">
        <f t="shared" si="97"/>
        <v>0</v>
      </c>
      <c r="AQ184" s="73">
        <f t="shared" si="98"/>
        <v>20</v>
      </c>
      <c r="AR184" s="73" t="str">
        <f t="shared" si="99"/>
        <v>Kevés v.</v>
      </c>
      <c r="AT184" s="273" t="str">
        <f t="shared" si="100"/>
        <v/>
      </c>
      <c r="AU184" s="273" t="str">
        <f t="shared" si="101"/>
        <v/>
      </c>
      <c r="AV184" s="273" t="str">
        <f t="shared" si="104"/>
        <v/>
      </c>
      <c r="AW184" s="273" t="str">
        <f t="shared" si="103"/>
        <v/>
      </c>
      <c r="AX184" s="274"/>
      <c r="AY184" s="313">
        <f t="shared" si="102"/>
        <v>0</v>
      </c>
    </row>
    <row r="185" spans="1:51" x14ac:dyDescent="0.3">
      <c r="A185" s="68">
        <v>180</v>
      </c>
      <c r="B185" s="141"/>
      <c r="C185" s="141"/>
      <c r="D185" s="142"/>
      <c r="E185" s="142"/>
      <c r="F185" s="145"/>
      <c r="G185" s="66"/>
      <c r="H185" s="53"/>
      <c r="I185" s="52"/>
      <c r="J185" s="182"/>
      <c r="K185" s="135"/>
      <c r="L185" s="127">
        <v>20</v>
      </c>
      <c r="M185" s="127">
        <v>20</v>
      </c>
      <c r="N185" s="127">
        <f t="shared" si="90"/>
        <v>20</v>
      </c>
      <c r="O185" s="127"/>
      <c r="P185" s="127"/>
      <c r="Q185" s="127"/>
      <c r="R185" s="128">
        <f t="shared" si="91"/>
        <v>60</v>
      </c>
      <c r="T185" s="285">
        <v>0</v>
      </c>
      <c r="U185" s="285">
        <v>0</v>
      </c>
      <c r="V185" s="285">
        <f t="shared" si="92"/>
        <v>0</v>
      </c>
      <c r="W185" s="287"/>
      <c r="X185" s="287"/>
      <c r="Y185" s="285"/>
      <c r="Z185" s="286">
        <f t="shared" si="93"/>
        <v>0</v>
      </c>
      <c r="AB185" s="62" t="s">
        <v>185</v>
      </c>
      <c r="AC185" s="130" t="s">
        <v>185</v>
      </c>
      <c r="AD185" s="62" t="s">
        <v>185</v>
      </c>
      <c r="AE185" s="130" t="s">
        <v>185</v>
      </c>
      <c r="AF185" s="62" t="str">
        <f t="shared" si="94"/>
        <v>-</v>
      </c>
      <c r="AG185" s="130" t="str">
        <f t="shared" si="95"/>
        <v>-</v>
      </c>
      <c r="AH185" s="62"/>
      <c r="AI185" s="63"/>
      <c r="AJ185" s="130"/>
      <c r="AK185" s="130"/>
      <c r="AL185" s="62"/>
      <c r="AM185" s="63"/>
      <c r="AO185" s="73">
        <f t="shared" si="96"/>
        <v>0</v>
      </c>
      <c r="AP185" s="73">
        <f t="shared" si="97"/>
        <v>0</v>
      </c>
      <c r="AQ185" s="73">
        <f t="shared" si="98"/>
        <v>20</v>
      </c>
      <c r="AR185" s="73" t="str">
        <f t="shared" si="99"/>
        <v>Kevés v.</v>
      </c>
      <c r="AT185" s="273" t="str">
        <f t="shared" si="100"/>
        <v/>
      </c>
      <c r="AU185" s="273" t="str">
        <f t="shared" si="101"/>
        <v/>
      </c>
      <c r="AV185" s="273" t="str">
        <f t="shared" si="104"/>
        <v/>
      </c>
      <c r="AW185" s="273" t="str">
        <f t="shared" si="103"/>
        <v/>
      </c>
      <c r="AX185" s="274"/>
      <c r="AY185" s="313">
        <f t="shared" si="102"/>
        <v>0</v>
      </c>
    </row>
    <row r="186" spans="1:51" x14ac:dyDescent="0.3">
      <c r="A186" s="68">
        <v>181</v>
      </c>
      <c r="B186" s="250"/>
      <c r="C186" s="141"/>
      <c r="D186" s="142"/>
      <c r="E186" s="142"/>
      <c r="F186" s="145"/>
      <c r="G186" s="66"/>
      <c r="H186" s="53"/>
      <c r="I186" s="52"/>
      <c r="J186" s="182"/>
      <c r="K186" s="135"/>
      <c r="L186" s="127">
        <v>20</v>
      </c>
      <c r="M186" s="127">
        <v>20</v>
      </c>
      <c r="N186" s="127">
        <f t="shared" si="90"/>
        <v>20</v>
      </c>
      <c r="O186" s="127"/>
      <c r="P186" s="127"/>
      <c r="Q186" s="127"/>
      <c r="R186" s="128">
        <f t="shared" si="91"/>
        <v>60</v>
      </c>
      <c r="T186" s="285">
        <v>0</v>
      </c>
      <c r="U186" s="285">
        <v>0</v>
      </c>
      <c r="V186" s="285">
        <f t="shared" si="92"/>
        <v>0</v>
      </c>
      <c r="W186" s="287"/>
      <c r="X186" s="287"/>
      <c r="Y186" s="285"/>
      <c r="Z186" s="286">
        <f t="shared" si="93"/>
        <v>0</v>
      </c>
      <c r="AB186" s="62" t="s">
        <v>185</v>
      </c>
      <c r="AC186" s="130" t="s">
        <v>185</v>
      </c>
      <c r="AD186" s="62" t="s">
        <v>185</v>
      </c>
      <c r="AE186" s="130" t="s">
        <v>185</v>
      </c>
      <c r="AF186" s="62" t="str">
        <f t="shared" si="94"/>
        <v>-</v>
      </c>
      <c r="AG186" s="130" t="str">
        <f t="shared" si="95"/>
        <v>-</v>
      </c>
      <c r="AH186" s="62"/>
      <c r="AI186" s="63"/>
      <c r="AJ186" s="130"/>
      <c r="AK186" s="130"/>
      <c r="AL186" s="62"/>
      <c r="AM186" s="63"/>
      <c r="AO186" s="73">
        <f t="shared" si="96"/>
        <v>0</v>
      </c>
      <c r="AP186" s="73">
        <f t="shared" si="97"/>
        <v>0</v>
      </c>
      <c r="AQ186" s="73">
        <f t="shared" si="98"/>
        <v>20</v>
      </c>
      <c r="AR186" s="73" t="str">
        <f t="shared" si="99"/>
        <v>Kevés v.</v>
      </c>
      <c r="AT186" s="273" t="str">
        <f t="shared" si="100"/>
        <v/>
      </c>
      <c r="AU186" s="273" t="str">
        <f t="shared" si="101"/>
        <v/>
      </c>
      <c r="AV186" s="273" t="str">
        <f t="shared" si="104"/>
        <v/>
      </c>
      <c r="AW186" s="273" t="str">
        <f t="shared" si="103"/>
        <v/>
      </c>
      <c r="AX186" s="274"/>
      <c r="AY186" s="313">
        <f t="shared" si="102"/>
        <v>0</v>
      </c>
    </row>
    <row r="187" spans="1:51" x14ac:dyDescent="0.3">
      <c r="A187" s="68">
        <v>182</v>
      </c>
      <c r="B187" s="250"/>
      <c r="C187" s="141"/>
      <c r="D187" s="142"/>
      <c r="E187" s="142"/>
      <c r="F187" s="145"/>
      <c r="G187" s="66"/>
      <c r="H187" s="53"/>
      <c r="I187" s="52"/>
      <c r="J187" s="182"/>
      <c r="K187" s="135"/>
      <c r="L187" s="127">
        <v>20</v>
      </c>
      <c r="M187" s="127">
        <v>20</v>
      </c>
      <c r="N187" s="127">
        <f t="shared" si="90"/>
        <v>20</v>
      </c>
      <c r="O187" s="127"/>
      <c r="P187" s="127"/>
      <c r="Q187" s="127"/>
      <c r="R187" s="128">
        <f t="shared" si="91"/>
        <v>60</v>
      </c>
      <c r="T187" s="285">
        <v>0</v>
      </c>
      <c r="U187" s="285">
        <v>0</v>
      </c>
      <c r="V187" s="285">
        <f t="shared" si="92"/>
        <v>0</v>
      </c>
      <c r="W187" s="287"/>
      <c r="X187" s="287"/>
      <c r="Y187" s="285"/>
      <c r="Z187" s="286">
        <f t="shared" si="93"/>
        <v>0</v>
      </c>
      <c r="AB187" s="62" t="s">
        <v>185</v>
      </c>
      <c r="AC187" s="130" t="s">
        <v>185</v>
      </c>
      <c r="AD187" s="62" t="s">
        <v>185</v>
      </c>
      <c r="AE187" s="130" t="s">
        <v>185</v>
      </c>
      <c r="AF187" s="62" t="str">
        <f t="shared" si="94"/>
        <v>-</v>
      </c>
      <c r="AG187" s="130" t="str">
        <f t="shared" si="95"/>
        <v>-</v>
      </c>
      <c r="AH187" s="62"/>
      <c r="AI187" s="63"/>
      <c r="AJ187" s="130"/>
      <c r="AK187" s="130"/>
      <c r="AL187" s="62"/>
      <c r="AM187" s="63"/>
      <c r="AO187" s="73">
        <f t="shared" si="96"/>
        <v>0</v>
      </c>
      <c r="AP187" s="73">
        <f t="shared" si="97"/>
        <v>0</v>
      </c>
      <c r="AQ187" s="73">
        <f t="shared" si="98"/>
        <v>20</v>
      </c>
      <c r="AR187" s="73" t="str">
        <f t="shared" si="99"/>
        <v>Kevés v.</v>
      </c>
      <c r="AT187" s="273" t="str">
        <f t="shared" si="100"/>
        <v/>
      </c>
      <c r="AU187" s="273" t="str">
        <f t="shared" si="101"/>
        <v/>
      </c>
      <c r="AV187" s="273" t="str">
        <f t="shared" si="104"/>
        <v/>
      </c>
      <c r="AW187" s="273" t="str">
        <f t="shared" si="103"/>
        <v/>
      </c>
      <c r="AX187" s="274"/>
      <c r="AY187" s="313">
        <f t="shared" si="102"/>
        <v>0</v>
      </c>
    </row>
    <row r="188" spans="1:51" x14ac:dyDescent="0.3">
      <c r="A188" s="68">
        <v>183</v>
      </c>
      <c r="B188" s="250"/>
      <c r="C188" s="141"/>
      <c r="D188" s="142"/>
      <c r="E188" s="142"/>
      <c r="F188" s="145"/>
      <c r="G188" s="66"/>
      <c r="H188" s="53"/>
      <c r="I188" s="52"/>
      <c r="J188" s="182"/>
      <c r="K188" s="135"/>
      <c r="L188" s="127">
        <v>20</v>
      </c>
      <c r="M188" s="127">
        <v>20</v>
      </c>
      <c r="N188" s="127">
        <f t="shared" si="90"/>
        <v>20</v>
      </c>
      <c r="O188" s="127"/>
      <c r="P188" s="127"/>
      <c r="Q188" s="127"/>
      <c r="R188" s="128">
        <f t="shared" si="91"/>
        <v>60</v>
      </c>
      <c r="T188" s="285">
        <v>0</v>
      </c>
      <c r="U188" s="285">
        <v>0</v>
      </c>
      <c r="V188" s="285">
        <f t="shared" si="92"/>
        <v>0</v>
      </c>
      <c r="W188" s="287"/>
      <c r="X188" s="287"/>
      <c r="Y188" s="285"/>
      <c r="Z188" s="286">
        <f t="shared" si="93"/>
        <v>0</v>
      </c>
      <c r="AB188" s="62" t="s">
        <v>185</v>
      </c>
      <c r="AC188" s="130" t="s">
        <v>185</v>
      </c>
      <c r="AD188" s="62" t="s">
        <v>185</v>
      </c>
      <c r="AE188" s="130" t="s">
        <v>185</v>
      </c>
      <c r="AF188" s="62" t="str">
        <f t="shared" si="94"/>
        <v>-</v>
      </c>
      <c r="AG188" s="130" t="str">
        <f t="shared" si="95"/>
        <v>-</v>
      </c>
      <c r="AH188" s="62"/>
      <c r="AI188" s="63"/>
      <c r="AJ188" s="130"/>
      <c r="AK188" s="130"/>
      <c r="AL188" s="62"/>
      <c r="AM188" s="63"/>
      <c r="AO188" s="73">
        <f t="shared" si="96"/>
        <v>0</v>
      </c>
      <c r="AP188" s="73">
        <f t="shared" si="97"/>
        <v>0</v>
      </c>
      <c r="AQ188" s="73">
        <f t="shared" si="98"/>
        <v>20</v>
      </c>
      <c r="AR188" s="73" t="str">
        <f t="shared" si="99"/>
        <v>Kevés v.</v>
      </c>
      <c r="AT188" s="273" t="str">
        <f t="shared" si="100"/>
        <v/>
      </c>
      <c r="AU188" s="273" t="str">
        <f t="shared" si="101"/>
        <v/>
      </c>
      <c r="AV188" s="273" t="str">
        <f t="shared" si="104"/>
        <v/>
      </c>
      <c r="AW188" s="273" t="str">
        <f t="shared" si="103"/>
        <v/>
      </c>
      <c r="AX188" s="274"/>
      <c r="AY188" s="313">
        <f t="shared" si="102"/>
        <v>0</v>
      </c>
    </row>
    <row r="189" spans="1:51" x14ac:dyDescent="0.3">
      <c r="A189" s="68">
        <v>184</v>
      </c>
      <c r="B189" s="141"/>
      <c r="C189" s="141"/>
      <c r="D189" s="142"/>
      <c r="E189" s="142"/>
      <c r="F189" s="145"/>
      <c r="G189" s="66"/>
      <c r="H189" s="53"/>
      <c r="I189" s="52"/>
      <c r="J189" s="182"/>
      <c r="K189" s="135"/>
      <c r="L189" s="127">
        <v>20</v>
      </c>
      <c r="M189" s="127">
        <v>20</v>
      </c>
      <c r="N189" s="127">
        <f t="shared" si="90"/>
        <v>20</v>
      </c>
      <c r="O189" s="127"/>
      <c r="P189" s="127"/>
      <c r="Q189" s="127"/>
      <c r="R189" s="128">
        <f t="shared" si="91"/>
        <v>60</v>
      </c>
      <c r="T189" s="285">
        <v>0</v>
      </c>
      <c r="U189" s="285">
        <v>0</v>
      </c>
      <c r="V189" s="285">
        <f t="shared" si="92"/>
        <v>0</v>
      </c>
      <c r="W189" s="287"/>
      <c r="X189" s="287"/>
      <c r="Y189" s="285"/>
      <c r="Z189" s="286">
        <f t="shared" si="93"/>
        <v>0</v>
      </c>
      <c r="AB189" s="62" t="s">
        <v>185</v>
      </c>
      <c r="AC189" s="130" t="s">
        <v>185</v>
      </c>
      <c r="AD189" s="62" t="s">
        <v>185</v>
      </c>
      <c r="AE189" s="130" t="s">
        <v>185</v>
      </c>
      <c r="AF189" s="62" t="str">
        <f t="shared" si="94"/>
        <v>-</v>
      </c>
      <c r="AG189" s="130" t="str">
        <f t="shared" si="95"/>
        <v>-</v>
      </c>
      <c r="AH189" s="62"/>
      <c r="AI189" s="63"/>
      <c r="AJ189" s="130"/>
      <c r="AK189" s="130"/>
      <c r="AL189" s="62"/>
      <c r="AM189" s="63"/>
      <c r="AO189" s="73">
        <f t="shared" si="96"/>
        <v>0</v>
      </c>
      <c r="AP189" s="73">
        <f t="shared" si="97"/>
        <v>0</v>
      </c>
      <c r="AQ189" s="73">
        <f t="shared" si="98"/>
        <v>20</v>
      </c>
      <c r="AR189" s="73" t="str">
        <f t="shared" si="99"/>
        <v>Kevés v.</v>
      </c>
      <c r="AT189" s="273" t="str">
        <f t="shared" si="100"/>
        <v/>
      </c>
      <c r="AU189" s="273" t="str">
        <f t="shared" si="101"/>
        <v/>
      </c>
      <c r="AV189" s="273" t="str">
        <f t="shared" si="104"/>
        <v/>
      </c>
      <c r="AW189" s="273" t="str">
        <f t="shared" si="103"/>
        <v/>
      </c>
      <c r="AX189" s="274"/>
      <c r="AY189" s="313">
        <f t="shared" si="102"/>
        <v>0</v>
      </c>
    </row>
    <row r="190" spans="1:51" x14ac:dyDescent="0.3">
      <c r="A190" s="68">
        <v>185</v>
      </c>
      <c r="B190" s="141"/>
      <c r="C190" s="141"/>
      <c r="D190" s="142"/>
      <c r="E190" s="142"/>
      <c r="F190" s="145"/>
      <c r="G190" s="66"/>
      <c r="H190" s="53"/>
      <c r="I190" s="52"/>
      <c r="J190" s="182"/>
      <c r="K190" s="135"/>
      <c r="L190" s="127">
        <v>20</v>
      </c>
      <c r="M190" s="127">
        <v>20</v>
      </c>
      <c r="N190" s="127">
        <f t="shared" si="90"/>
        <v>20</v>
      </c>
      <c r="O190" s="127"/>
      <c r="P190" s="127"/>
      <c r="Q190" s="127"/>
      <c r="R190" s="128">
        <f t="shared" si="91"/>
        <v>60</v>
      </c>
      <c r="T190" s="285">
        <v>0</v>
      </c>
      <c r="U190" s="285">
        <v>0</v>
      </c>
      <c r="V190" s="285">
        <f t="shared" si="92"/>
        <v>0</v>
      </c>
      <c r="W190" s="287"/>
      <c r="X190" s="287"/>
      <c r="Y190" s="285"/>
      <c r="Z190" s="286">
        <f t="shared" si="93"/>
        <v>0</v>
      </c>
      <c r="AB190" s="62" t="s">
        <v>185</v>
      </c>
      <c r="AC190" s="130" t="s">
        <v>185</v>
      </c>
      <c r="AD190" s="62" t="s">
        <v>185</v>
      </c>
      <c r="AE190" s="130" t="s">
        <v>185</v>
      </c>
      <c r="AF190" s="62" t="str">
        <f t="shared" si="94"/>
        <v>-</v>
      </c>
      <c r="AG190" s="130" t="str">
        <f t="shared" si="95"/>
        <v>-</v>
      </c>
      <c r="AH190" s="62"/>
      <c r="AI190" s="63"/>
      <c r="AJ190" s="130"/>
      <c r="AK190" s="130"/>
      <c r="AL190" s="62"/>
      <c r="AM190" s="63"/>
      <c r="AO190" s="73">
        <f t="shared" si="96"/>
        <v>0</v>
      </c>
      <c r="AP190" s="73">
        <f t="shared" si="97"/>
        <v>0</v>
      </c>
      <c r="AQ190" s="73">
        <f t="shared" si="98"/>
        <v>20</v>
      </c>
      <c r="AR190" s="73" t="str">
        <f t="shared" si="99"/>
        <v>Kevés v.</v>
      </c>
      <c r="AT190" s="273" t="str">
        <f t="shared" si="100"/>
        <v/>
      </c>
      <c r="AU190" s="273" t="str">
        <f t="shared" si="101"/>
        <v/>
      </c>
      <c r="AV190" s="273" t="str">
        <f t="shared" si="104"/>
        <v/>
      </c>
      <c r="AW190" s="273" t="str">
        <f t="shared" si="103"/>
        <v/>
      </c>
      <c r="AX190" s="274"/>
      <c r="AY190" s="313">
        <f t="shared" si="102"/>
        <v>0</v>
      </c>
    </row>
    <row r="191" spans="1:51" x14ac:dyDescent="0.3">
      <c r="A191" s="68">
        <v>186</v>
      </c>
      <c r="B191" s="141"/>
      <c r="C191" s="141"/>
      <c r="D191" s="142"/>
      <c r="E191" s="142"/>
      <c r="F191" s="145"/>
      <c r="G191" s="66"/>
      <c r="H191" s="53"/>
      <c r="I191" s="52"/>
      <c r="J191" s="182"/>
      <c r="K191" s="135"/>
      <c r="L191" s="127">
        <v>20</v>
      </c>
      <c r="M191" s="127">
        <v>20</v>
      </c>
      <c r="N191" s="127">
        <f t="shared" si="90"/>
        <v>20</v>
      </c>
      <c r="O191" s="127"/>
      <c r="P191" s="127"/>
      <c r="Q191" s="127"/>
      <c r="R191" s="128">
        <f t="shared" si="91"/>
        <v>60</v>
      </c>
      <c r="T191" s="285">
        <v>0</v>
      </c>
      <c r="U191" s="285">
        <v>0</v>
      </c>
      <c r="V191" s="285">
        <f t="shared" si="92"/>
        <v>0</v>
      </c>
      <c r="W191" s="287"/>
      <c r="X191" s="287"/>
      <c r="Y191" s="285"/>
      <c r="Z191" s="286">
        <f t="shared" si="93"/>
        <v>0</v>
      </c>
      <c r="AB191" s="62" t="s">
        <v>185</v>
      </c>
      <c r="AC191" s="130" t="s">
        <v>185</v>
      </c>
      <c r="AD191" s="62" t="s">
        <v>185</v>
      </c>
      <c r="AE191" s="130" t="s">
        <v>185</v>
      </c>
      <c r="AF191" s="62" t="str">
        <f t="shared" si="94"/>
        <v>-</v>
      </c>
      <c r="AG191" s="130" t="str">
        <f t="shared" si="95"/>
        <v>-</v>
      </c>
      <c r="AH191" s="62"/>
      <c r="AI191" s="63"/>
      <c r="AJ191" s="130"/>
      <c r="AK191" s="130"/>
      <c r="AL191" s="62"/>
      <c r="AM191" s="63"/>
      <c r="AO191" s="73">
        <f t="shared" si="96"/>
        <v>0</v>
      </c>
      <c r="AP191" s="73">
        <f t="shared" si="97"/>
        <v>0</v>
      </c>
      <c r="AQ191" s="73">
        <f t="shared" si="98"/>
        <v>20</v>
      </c>
      <c r="AR191" s="73" t="str">
        <f t="shared" si="99"/>
        <v>Kevés v.</v>
      </c>
      <c r="AT191" s="273" t="str">
        <f t="shared" si="100"/>
        <v/>
      </c>
      <c r="AU191" s="273" t="str">
        <f t="shared" si="101"/>
        <v/>
      </c>
      <c r="AV191" s="273" t="str">
        <f t="shared" si="104"/>
        <v/>
      </c>
      <c r="AW191" s="273" t="str">
        <f t="shared" si="103"/>
        <v/>
      </c>
      <c r="AX191" s="274"/>
      <c r="AY191" s="313">
        <f t="shared" si="102"/>
        <v>0</v>
      </c>
    </row>
    <row r="192" spans="1:51" x14ac:dyDescent="0.3">
      <c r="A192" s="68">
        <v>187</v>
      </c>
      <c r="B192" s="141"/>
      <c r="C192" s="141"/>
      <c r="D192" s="142"/>
      <c r="E192" s="142"/>
      <c r="F192" s="145"/>
      <c r="G192" s="66"/>
      <c r="H192" s="53"/>
      <c r="I192" s="52"/>
      <c r="J192" s="182"/>
      <c r="K192" s="135"/>
      <c r="L192" s="127">
        <v>20</v>
      </c>
      <c r="M192" s="127">
        <v>20</v>
      </c>
      <c r="N192" s="127">
        <f t="shared" ref="N192:N199" si="105">IF($G192="",20,$J192)</f>
        <v>20</v>
      </c>
      <c r="O192" s="127"/>
      <c r="P192" s="127"/>
      <c r="Q192" s="127"/>
      <c r="R192" s="128">
        <f t="shared" ref="R192:R199" si="106">SUM(L192:Q192)</f>
        <v>60</v>
      </c>
      <c r="T192" s="285">
        <v>0</v>
      </c>
      <c r="U192" s="285">
        <v>0</v>
      </c>
      <c r="V192" s="285">
        <f t="shared" ref="V192:V199" si="107">IF($G192="",0,$I192)</f>
        <v>0</v>
      </c>
      <c r="W192" s="287"/>
      <c r="X192" s="287"/>
      <c r="Y192" s="285"/>
      <c r="Z192" s="286">
        <f t="shared" ref="Z192:Z199" si="108">SUM(T192:Y192)</f>
        <v>0</v>
      </c>
      <c r="AB192" s="62" t="s">
        <v>185</v>
      </c>
      <c r="AC192" s="130" t="s">
        <v>185</v>
      </c>
      <c r="AD192" s="62" t="s">
        <v>185</v>
      </c>
      <c r="AE192" s="130" t="s">
        <v>185</v>
      </c>
      <c r="AF192" s="62" t="str">
        <f t="shared" ref="AF192:AF199" si="109">IF($G192="","-",$G192)</f>
        <v>-</v>
      </c>
      <c r="AG192" s="130" t="str">
        <f t="shared" ref="AG192:AG199" si="110">IF($G192="","-",$H192)</f>
        <v>-</v>
      </c>
      <c r="AH192" s="62"/>
      <c r="AI192" s="63"/>
      <c r="AJ192" s="130"/>
      <c r="AK192" s="130"/>
      <c r="AL192" s="62"/>
      <c r="AM192" s="63"/>
      <c r="AO192" s="73">
        <f t="shared" ref="AO192:AO199" si="111">COUNTIFS(L192:Q192,"&lt;20")</f>
        <v>0</v>
      </c>
      <c r="AP192" s="73">
        <f t="shared" ref="AP192:AP199" si="112">SUMIF(L192:Q192,"&lt;20")</f>
        <v>0</v>
      </c>
      <c r="AQ192" s="73">
        <f t="shared" ref="AQ192:AQ199" si="113">MAX(L192:Q192)</f>
        <v>20</v>
      </c>
      <c r="AR192" s="73" t="str">
        <f t="shared" ref="AR192:AR199" si="114">IF(AO192&gt;4,L192+M192+N192+O192+P192+Q192-AQ192,IF(AO192&lt;5,"Kevés v."))</f>
        <v>Kevés v.</v>
      </c>
      <c r="AT192" s="273" t="str">
        <f t="shared" ref="AT192:AT199" si="115">IF(F192=2,IF(E192="felnőtt",8300,IF(E192="ifjúsági",6600,IF(E192="női",6600,IF(E192="gyermek",1000,"")))),"")</f>
        <v/>
      </c>
      <c r="AU192" s="273" t="str">
        <f t="shared" ref="AU192:AU199" si="116">IF(F192=3,IF(E192="felnőtt",6300,IF(E192="ifjúsági",4600,IF(E192="női",4600,IF(E192="gyermek",0,"")))),"")</f>
        <v/>
      </c>
      <c r="AV192" s="273" t="str">
        <f t="shared" si="104"/>
        <v/>
      </c>
      <c r="AW192" s="273" t="str">
        <f t="shared" si="103"/>
        <v/>
      </c>
      <c r="AX192" s="274"/>
      <c r="AY192" s="313">
        <f t="shared" ref="AY192:AY199" si="117">SUM(AT192:AX192)</f>
        <v>0</v>
      </c>
    </row>
    <row r="193" spans="1:51" x14ac:dyDescent="0.3">
      <c r="A193" s="68">
        <v>188</v>
      </c>
      <c r="B193" s="141"/>
      <c r="C193" s="141"/>
      <c r="D193" s="142"/>
      <c r="E193" s="142"/>
      <c r="F193" s="145"/>
      <c r="G193" s="66"/>
      <c r="H193" s="53"/>
      <c r="I193" s="52"/>
      <c r="J193" s="182"/>
      <c r="K193" s="135"/>
      <c r="L193" s="127">
        <v>20</v>
      </c>
      <c r="M193" s="127">
        <v>20</v>
      </c>
      <c r="N193" s="127">
        <f t="shared" si="105"/>
        <v>20</v>
      </c>
      <c r="O193" s="127"/>
      <c r="P193" s="127"/>
      <c r="Q193" s="127"/>
      <c r="R193" s="128">
        <f t="shared" si="106"/>
        <v>60</v>
      </c>
      <c r="T193" s="285">
        <v>0</v>
      </c>
      <c r="U193" s="285">
        <v>0</v>
      </c>
      <c r="V193" s="285">
        <f t="shared" si="107"/>
        <v>0</v>
      </c>
      <c r="W193" s="287"/>
      <c r="X193" s="287"/>
      <c r="Y193" s="285"/>
      <c r="Z193" s="286">
        <f t="shared" si="108"/>
        <v>0</v>
      </c>
      <c r="AB193" s="62" t="s">
        <v>185</v>
      </c>
      <c r="AC193" s="130" t="s">
        <v>185</v>
      </c>
      <c r="AD193" s="62" t="s">
        <v>185</v>
      </c>
      <c r="AE193" s="130" t="s">
        <v>185</v>
      </c>
      <c r="AF193" s="62" t="str">
        <f t="shared" si="109"/>
        <v>-</v>
      </c>
      <c r="AG193" s="130" t="str">
        <f t="shared" si="110"/>
        <v>-</v>
      </c>
      <c r="AH193" s="62"/>
      <c r="AI193" s="63"/>
      <c r="AJ193" s="130"/>
      <c r="AK193" s="130"/>
      <c r="AL193" s="62"/>
      <c r="AM193" s="63"/>
      <c r="AO193" s="73">
        <f t="shared" si="111"/>
        <v>0</v>
      </c>
      <c r="AP193" s="73">
        <f t="shared" si="112"/>
        <v>0</v>
      </c>
      <c r="AQ193" s="73">
        <f t="shared" si="113"/>
        <v>20</v>
      </c>
      <c r="AR193" s="73" t="str">
        <f t="shared" si="114"/>
        <v>Kevés v.</v>
      </c>
      <c r="AT193" s="273" t="str">
        <f t="shared" si="115"/>
        <v/>
      </c>
      <c r="AU193" s="273" t="str">
        <f t="shared" si="116"/>
        <v/>
      </c>
      <c r="AV193" s="273" t="str">
        <f t="shared" si="104"/>
        <v/>
      </c>
      <c r="AW193" s="273" t="str">
        <f t="shared" si="103"/>
        <v/>
      </c>
      <c r="AX193" s="274"/>
      <c r="AY193" s="313">
        <f t="shared" si="117"/>
        <v>0</v>
      </c>
    </row>
    <row r="194" spans="1:51" x14ac:dyDescent="0.3">
      <c r="A194" s="68">
        <v>189</v>
      </c>
      <c r="B194" s="141"/>
      <c r="C194" s="141"/>
      <c r="D194" s="142"/>
      <c r="E194" s="142"/>
      <c r="F194" s="145"/>
      <c r="G194" s="66"/>
      <c r="H194" s="53"/>
      <c r="I194" s="52"/>
      <c r="J194" s="182"/>
      <c r="K194" s="135"/>
      <c r="L194" s="127">
        <v>20</v>
      </c>
      <c r="M194" s="127">
        <v>20</v>
      </c>
      <c r="N194" s="127">
        <f t="shared" si="105"/>
        <v>20</v>
      </c>
      <c r="O194" s="127"/>
      <c r="P194" s="127"/>
      <c r="Q194" s="127"/>
      <c r="R194" s="128">
        <f t="shared" si="106"/>
        <v>60</v>
      </c>
      <c r="T194" s="285">
        <v>0</v>
      </c>
      <c r="U194" s="285">
        <v>0</v>
      </c>
      <c r="V194" s="285">
        <f t="shared" si="107"/>
        <v>0</v>
      </c>
      <c r="W194" s="287"/>
      <c r="X194" s="287"/>
      <c r="Y194" s="285"/>
      <c r="Z194" s="286">
        <f t="shared" si="108"/>
        <v>0</v>
      </c>
      <c r="AB194" s="62" t="s">
        <v>185</v>
      </c>
      <c r="AC194" s="130" t="s">
        <v>185</v>
      </c>
      <c r="AD194" s="62" t="s">
        <v>185</v>
      </c>
      <c r="AE194" s="130" t="s">
        <v>185</v>
      </c>
      <c r="AF194" s="62" t="str">
        <f t="shared" si="109"/>
        <v>-</v>
      </c>
      <c r="AG194" s="130" t="str">
        <f t="shared" si="110"/>
        <v>-</v>
      </c>
      <c r="AH194" s="62"/>
      <c r="AI194" s="63"/>
      <c r="AJ194" s="130"/>
      <c r="AK194" s="130"/>
      <c r="AL194" s="62"/>
      <c r="AM194" s="63"/>
      <c r="AO194" s="73">
        <f t="shared" si="111"/>
        <v>0</v>
      </c>
      <c r="AP194" s="73">
        <f t="shared" si="112"/>
        <v>0</v>
      </c>
      <c r="AQ194" s="73">
        <f t="shared" si="113"/>
        <v>20</v>
      </c>
      <c r="AR194" s="73" t="str">
        <f t="shared" si="114"/>
        <v>Kevés v.</v>
      </c>
      <c r="AT194" s="273" t="str">
        <f t="shared" si="115"/>
        <v/>
      </c>
      <c r="AU194" s="273" t="str">
        <f t="shared" si="116"/>
        <v/>
      </c>
      <c r="AV194" s="273" t="str">
        <f t="shared" si="104"/>
        <v/>
      </c>
      <c r="AW194" s="273" t="str">
        <f t="shared" ref="AW194:AW199" si="118">IF(F194=7,IF(E194="felnőtt",31500,IF(E194="ifjúsági",23000,IF(E194="női",23000,IF(E194="gyermek",0,"")))),"")</f>
        <v/>
      </c>
      <c r="AX194" s="274"/>
      <c r="AY194" s="313">
        <f t="shared" si="117"/>
        <v>0</v>
      </c>
    </row>
    <row r="195" spans="1:51" x14ac:dyDescent="0.3">
      <c r="A195" s="68">
        <v>190</v>
      </c>
      <c r="B195" s="141"/>
      <c r="C195" s="141"/>
      <c r="D195" s="142"/>
      <c r="E195" s="142"/>
      <c r="F195" s="145"/>
      <c r="G195" s="66"/>
      <c r="H195" s="53"/>
      <c r="I195" s="52"/>
      <c r="J195" s="182"/>
      <c r="K195" s="135"/>
      <c r="L195" s="127">
        <v>20</v>
      </c>
      <c r="M195" s="127">
        <v>20</v>
      </c>
      <c r="N195" s="127">
        <f t="shared" si="105"/>
        <v>20</v>
      </c>
      <c r="O195" s="127"/>
      <c r="P195" s="127"/>
      <c r="Q195" s="127"/>
      <c r="R195" s="128">
        <f t="shared" si="106"/>
        <v>60</v>
      </c>
      <c r="T195" s="285">
        <v>0</v>
      </c>
      <c r="U195" s="285">
        <v>0</v>
      </c>
      <c r="V195" s="285">
        <f t="shared" si="107"/>
        <v>0</v>
      </c>
      <c r="W195" s="287"/>
      <c r="X195" s="287"/>
      <c r="Y195" s="285"/>
      <c r="Z195" s="286">
        <f t="shared" si="108"/>
        <v>0</v>
      </c>
      <c r="AB195" s="62" t="s">
        <v>185</v>
      </c>
      <c r="AC195" s="130" t="s">
        <v>185</v>
      </c>
      <c r="AD195" s="62" t="s">
        <v>185</v>
      </c>
      <c r="AE195" s="130" t="s">
        <v>185</v>
      </c>
      <c r="AF195" s="62" t="str">
        <f t="shared" si="109"/>
        <v>-</v>
      </c>
      <c r="AG195" s="130" t="str">
        <f t="shared" si="110"/>
        <v>-</v>
      </c>
      <c r="AH195" s="62"/>
      <c r="AI195" s="63"/>
      <c r="AJ195" s="130"/>
      <c r="AK195" s="130"/>
      <c r="AL195" s="62"/>
      <c r="AM195" s="63"/>
      <c r="AO195" s="73">
        <f t="shared" si="111"/>
        <v>0</v>
      </c>
      <c r="AP195" s="73">
        <f t="shared" si="112"/>
        <v>0</v>
      </c>
      <c r="AQ195" s="73">
        <f t="shared" si="113"/>
        <v>20</v>
      </c>
      <c r="AR195" s="73" t="str">
        <f t="shared" si="114"/>
        <v>Kevés v.</v>
      </c>
      <c r="AT195" s="273" t="str">
        <f t="shared" si="115"/>
        <v/>
      </c>
      <c r="AU195" s="273" t="str">
        <f t="shared" si="116"/>
        <v/>
      </c>
      <c r="AV195" s="273" t="str">
        <f t="shared" si="104"/>
        <v/>
      </c>
      <c r="AW195" s="273" t="str">
        <f t="shared" si="118"/>
        <v/>
      </c>
      <c r="AX195" s="274"/>
      <c r="AY195" s="313">
        <f t="shared" si="117"/>
        <v>0</v>
      </c>
    </row>
    <row r="196" spans="1:51" x14ac:dyDescent="0.3">
      <c r="A196" s="68">
        <v>191</v>
      </c>
      <c r="B196" s="141"/>
      <c r="C196" s="141"/>
      <c r="D196" s="142"/>
      <c r="E196" s="142"/>
      <c r="F196" s="145"/>
      <c r="G196" s="66"/>
      <c r="H196" s="53"/>
      <c r="I196" s="52"/>
      <c r="J196" s="182"/>
      <c r="K196" s="135"/>
      <c r="L196" s="127">
        <v>20</v>
      </c>
      <c r="M196" s="127">
        <v>20</v>
      </c>
      <c r="N196" s="127">
        <f t="shared" si="105"/>
        <v>20</v>
      </c>
      <c r="O196" s="127"/>
      <c r="P196" s="127"/>
      <c r="Q196" s="127"/>
      <c r="R196" s="128">
        <f t="shared" si="106"/>
        <v>60</v>
      </c>
      <c r="T196" s="285">
        <v>0</v>
      </c>
      <c r="U196" s="285">
        <v>0</v>
      </c>
      <c r="V196" s="285">
        <f t="shared" si="107"/>
        <v>0</v>
      </c>
      <c r="W196" s="287"/>
      <c r="X196" s="287"/>
      <c r="Y196" s="285"/>
      <c r="Z196" s="286">
        <f t="shared" si="108"/>
        <v>0</v>
      </c>
      <c r="AB196" s="62" t="s">
        <v>185</v>
      </c>
      <c r="AC196" s="130" t="s">
        <v>185</v>
      </c>
      <c r="AD196" s="62" t="s">
        <v>185</v>
      </c>
      <c r="AE196" s="130" t="s">
        <v>185</v>
      </c>
      <c r="AF196" s="62" t="str">
        <f t="shared" si="109"/>
        <v>-</v>
      </c>
      <c r="AG196" s="130" t="str">
        <f t="shared" si="110"/>
        <v>-</v>
      </c>
      <c r="AH196" s="62"/>
      <c r="AI196" s="63"/>
      <c r="AJ196" s="130"/>
      <c r="AK196" s="130"/>
      <c r="AL196" s="62"/>
      <c r="AM196" s="63"/>
      <c r="AO196" s="73">
        <f t="shared" si="111"/>
        <v>0</v>
      </c>
      <c r="AP196" s="73">
        <f t="shared" si="112"/>
        <v>0</v>
      </c>
      <c r="AQ196" s="73">
        <f t="shared" si="113"/>
        <v>20</v>
      </c>
      <c r="AR196" s="73" t="str">
        <f t="shared" si="114"/>
        <v>Kevés v.</v>
      </c>
      <c r="AT196" s="273" t="str">
        <f t="shared" si="115"/>
        <v/>
      </c>
      <c r="AU196" s="273" t="str">
        <f t="shared" si="116"/>
        <v/>
      </c>
      <c r="AV196" s="273" t="str">
        <f t="shared" si="104"/>
        <v/>
      </c>
      <c r="AW196" s="273" t="str">
        <f t="shared" si="118"/>
        <v/>
      </c>
      <c r="AX196" s="274"/>
      <c r="AY196" s="313">
        <f t="shared" si="117"/>
        <v>0</v>
      </c>
    </row>
    <row r="197" spans="1:51" x14ac:dyDescent="0.3">
      <c r="A197" s="68">
        <v>192</v>
      </c>
      <c r="B197" s="141"/>
      <c r="C197" s="141"/>
      <c r="D197" s="142"/>
      <c r="E197" s="142"/>
      <c r="F197" s="145"/>
      <c r="G197" s="66"/>
      <c r="H197" s="53"/>
      <c r="I197" s="52"/>
      <c r="J197" s="182"/>
      <c r="K197" s="135"/>
      <c r="L197" s="127">
        <v>20</v>
      </c>
      <c r="M197" s="127">
        <v>20</v>
      </c>
      <c r="N197" s="127">
        <f t="shared" si="105"/>
        <v>20</v>
      </c>
      <c r="O197" s="127"/>
      <c r="P197" s="127"/>
      <c r="Q197" s="127"/>
      <c r="R197" s="128">
        <f t="shared" si="106"/>
        <v>60</v>
      </c>
      <c r="T197" s="285">
        <v>0</v>
      </c>
      <c r="U197" s="285">
        <v>0</v>
      </c>
      <c r="V197" s="285">
        <f t="shared" si="107"/>
        <v>0</v>
      </c>
      <c r="W197" s="287"/>
      <c r="X197" s="287"/>
      <c r="Y197" s="285"/>
      <c r="Z197" s="286">
        <f t="shared" si="108"/>
        <v>0</v>
      </c>
      <c r="AB197" s="62" t="s">
        <v>185</v>
      </c>
      <c r="AC197" s="130" t="s">
        <v>185</v>
      </c>
      <c r="AD197" s="62" t="s">
        <v>185</v>
      </c>
      <c r="AE197" s="130" t="s">
        <v>185</v>
      </c>
      <c r="AF197" s="62" t="str">
        <f t="shared" si="109"/>
        <v>-</v>
      </c>
      <c r="AG197" s="130" t="str">
        <f t="shared" si="110"/>
        <v>-</v>
      </c>
      <c r="AH197" s="62"/>
      <c r="AI197" s="63"/>
      <c r="AJ197" s="130"/>
      <c r="AK197" s="130"/>
      <c r="AL197" s="62"/>
      <c r="AM197" s="63"/>
      <c r="AO197" s="73">
        <f t="shared" si="111"/>
        <v>0</v>
      </c>
      <c r="AP197" s="73">
        <f t="shared" si="112"/>
        <v>0</v>
      </c>
      <c r="AQ197" s="73">
        <f t="shared" si="113"/>
        <v>20</v>
      </c>
      <c r="AR197" s="73" t="str">
        <f t="shared" si="114"/>
        <v>Kevés v.</v>
      </c>
      <c r="AT197" s="273" t="str">
        <f t="shared" si="115"/>
        <v/>
      </c>
      <c r="AU197" s="273" t="str">
        <f t="shared" si="116"/>
        <v/>
      </c>
      <c r="AV197" s="273" t="str">
        <f t="shared" si="104"/>
        <v/>
      </c>
      <c r="AW197" s="273" t="str">
        <f t="shared" si="118"/>
        <v/>
      </c>
      <c r="AX197" s="274"/>
      <c r="AY197" s="313">
        <f t="shared" si="117"/>
        <v>0</v>
      </c>
    </row>
    <row r="198" spans="1:51" x14ac:dyDescent="0.3">
      <c r="A198" s="68">
        <v>193</v>
      </c>
      <c r="B198" s="141"/>
      <c r="C198" s="141"/>
      <c r="D198" s="142"/>
      <c r="E198" s="142"/>
      <c r="F198" s="145"/>
      <c r="G198" s="66"/>
      <c r="H198" s="53"/>
      <c r="I198" s="52"/>
      <c r="J198" s="182"/>
      <c r="K198" s="135"/>
      <c r="L198" s="127">
        <v>20</v>
      </c>
      <c r="M198" s="127">
        <v>20</v>
      </c>
      <c r="N198" s="127">
        <f t="shared" si="105"/>
        <v>20</v>
      </c>
      <c r="O198" s="127"/>
      <c r="P198" s="127"/>
      <c r="Q198" s="127"/>
      <c r="R198" s="128">
        <f t="shared" si="106"/>
        <v>60</v>
      </c>
      <c r="T198" s="285">
        <v>0</v>
      </c>
      <c r="U198" s="285">
        <v>0</v>
      </c>
      <c r="V198" s="285">
        <f t="shared" si="107"/>
        <v>0</v>
      </c>
      <c r="W198" s="287"/>
      <c r="X198" s="287"/>
      <c r="Y198" s="285"/>
      <c r="Z198" s="286">
        <f t="shared" si="108"/>
        <v>0</v>
      </c>
      <c r="AB198" s="62" t="s">
        <v>185</v>
      </c>
      <c r="AC198" s="130" t="s">
        <v>185</v>
      </c>
      <c r="AD198" s="62" t="s">
        <v>185</v>
      </c>
      <c r="AE198" s="130" t="s">
        <v>185</v>
      </c>
      <c r="AF198" s="62" t="str">
        <f t="shared" si="109"/>
        <v>-</v>
      </c>
      <c r="AG198" s="130" t="str">
        <f t="shared" si="110"/>
        <v>-</v>
      </c>
      <c r="AH198" s="62"/>
      <c r="AI198" s="63"/>
      <c r="AJ198" s="130"/>
      <c r="AK198" s="130"/>
      <c r="AL198" s="62"/>
      <c r="AM198" s="63"/>
      <c r="AO198" s="73">
        <f t="shared" si="111"/>
        <v>0</v>
      </c>
      <c r="AP198" s="73">
        <f t="shared" si="112"/>
        <v>0</v>
      </c>
      <c r="AQ198" s="73">
        <f t="shared" si="113"/>
        <v>20</v>
      </c>
      <c r="AR198" s="73" t="str">
        <f t="shared" si="114"/>
        <v>Kevés v.</v>
      </c>
      <c r="AT198" s="273" t="str">
        <f t="shared" si="115"/>
        <v/>
      </c>
      <c r="AU198" s="273" t="str">
        <f t="shared" si="116"/>
        <v/>
      </c>
      <c r="AV198" s="273" t="str">
        <f t="shared" si="104"/>
        <v/>
      </c>
      <c r="AW198" s="273" t="str">
        <f t="shared" si="118"/>
        <v/>
      </c>
      <c r="AX198" s="274"/>
      <c r="AY198" s="313">
        <f t="shared" si="117"/>
        <v>0</v>
      </c>
    </row>
    <row r="199" spans="1:51" x14ac:dyDescent="0.3">
      <c r="A199" s="71">
        <v>999</v>
      </c>
      <c r="B199" s="141"/>
      <c r="C199" s="141"/>
      <c r="D199" s="142"/>
      <c r="E199" s="142"/>
      <c r="F199" s="145"/>
      <c r="G199" s="66"/>
      <c r="H199" s="53"/>
      <c r="I199" s="52"/>
      <c r="J199" s="182"/>
      <c r="K199" s="135"/>
      <c r="L199" s="127">
        <v>20</v>
      </c>
      <c r="M199" s="127">
        <v>20</v>
      </c>
      <c r="N199" s="127">
        <f t="shared" si="105"/>
        <v>20</v>
      </c>
      <c r="O199" s="127"/>
      <c r="P199" s="127"/>
      <c r="Q199" s="127"/>
      <c r="R199" s="128">
        <f t="shared" si="106"/>
        <v>60</v>
      </c>
      <c r="T199" s="285">
        <v>0</v>
      </c>
      <c r="U199" s="285">
        <v>0</v>
      </c>
      <c r="V199" s="285">
        <f t="shared" si="107"/>
        <v>0</v>
      </c>
      <c r="W199" s="287"/>
      <c r="X199" s="287"/>
      <c r="Y199" s="285"/>
      <c r="Z199" s="286">
        <f t="shared" si="108"/>
        <v>0</v>
      </c>
      <c r="AB199" s="62" t="s">
        <v>185</v>
      </c>
      <c r="AC199" s="130" t="s">
        <v>185</v>
      </c>
      <c r="AD199" s="62" t="s">
        <v>185</v>
      </c>
      <c r="AE199" s="130" t="s">
        <v>185</v>
      </c>
      <c r="AF199" s="62" t="str">
        <f t="shared" si="109"/>
        <v>-</v>
      </c>
      <c r="AG199" s="130" t="str">
        <f t="shared" si="110"/>
        <v>-</v>
      </c>
      <c r="AH199" s="62"/>
      <c r="AI199" s="63"/>
      <c r="AJ199" s="130"/>
      <c r="AK199" s="130"/>
      <c r="AL199" s="62"/>
      <c r="AM199" s="63"/>
      <c r="AO199" s="73">
        <f t="shared" si="111"/>
        <v>0</v>
      </c>
      <c r="AP199" s="73">
        <f t="shared" si="112"/>
        <v>0</v>
      </c>
      <c r="AQ199" s="73">
        <f t="shared" si="113"/>
        <v>20</v>
      </c>
      <c r="AR199" s="73" t="str">
        <f t="shared" si="114"/>
        <v>Kevés v.</v>
      </c>
      <c r="AT199" s="273" t="str">
        <f t="shared" si="115"/>
        <v/>
      </c>
      <c r="AU199" s="273" t="str">
        <f t="shared" si="116"/>
        <v/>
      </c>
      <c r="AV199" s="273" t="str">
        <f t="shared" si="104"/>
        <v/>
      </c>
      <c r="AW199" s="273" t="str">
        <f t="shared" si="118"/>
        <v/>
      </c>
      <c r="AX199" s="274"/>
      <c r="AY199" s="313">
        <f t="shared" si="117"/>
        <v>0</v>
      </c>
    </row>
    <row r="200" spans="1:51" x14ac:dyDescent="0.3">
      <c r="A200" s="22"/>
      <c r="B200" s="21"/>
      <c r="C200" s="21"/>
      <c r="D200" s="20"/>
      <c r="E200" s="20"/>
      <c r="F200" s="21"/>
      <c r="G200" s="22"/>
      <c r="H200" s="20"/>
      <c r="I200" s="57"/>
      <c r="J200" s="21"/>
      <c r="T200" s="58"/>
      <c r="U200" s="58"/>
      <c r="V200" s="58"/>
      <c r="W200" s="58"/>
      <c r="X200" s="58"/>
      <c r="Y200" s="58"/>
      <c r="Z200" s="59"/>
      <c r="AB200" s="60"/>
      <c r="AC200" s="61"/>
      <c r="AD200" s="60"/>
      <c r="AE200" s="61"/>
      <c r="AF200" s="60"/>
      <c r="AG200" s="61"/>
      <c r="AH200" s="60"/>
      <c r="AI200" s="61"/>
      <c r="AJ200" s="61"/>
      <c r="AK200" s="61"/>
      <c r="AL200" s="60"/>
      <c r="AM200" s="61"/>
    </row>
    <row r="201" spans="1:51" x14ac:dyDescent="0.3">
      <c r="A201" s="22"/>
      <c r="B201" s="21"/>
      <c r="C201" s="21"/>
      <c r="D201" s="20"/>
      <c r="E201" s="20"/>
      <c r="F201" s="21"/>
      <c r="G201" s="22"/>
      <c r="H201" s="20"/>
      <c r="I201" s="57"/>
      <c r="J201" s="21"/>
      <c r="T201" s="58"/>
      <c r="U201" s="58"/>
      <c r="V201" s="58"/>
      <c r="W201" s="58"/>
      <c r="X201" s="58"/>
      <c r="Y201" s="58"/>
      <c r="Z201" s="59"/>
      <c r="AB201" s="60"/>
      <c r="AC201" s="61"/>
      <c r="AD201" s="60"/>
      <c r="AE201" s="61"/>
      <c r="AF201" s="60"/>
      <c r="AG201" s="61"/>
      <c r="AH201" s="60"/>
      <c r="AI201" s="61"/>
      <c r="AJ201" s="61"/>
      <c r="AK201" s="61"/>
      <c r="AL201" s="60"/>
      <c r="AM201" s="61"/>
    </row>
    <row r="202" spans="1:51" x14ac:dyDescent="0.3">
      <c r="A202" s="22"/>
      <c r="B202" s="21"/>
      <c r="C202" s="21"/>
      <c r="D202" s="20"/>
      <c r="E202" s="20"/>
      <c r="F202" s="21"/>
      <c r="G202" s="22"/>
      <c r="H202" s="20"/>
      <c r="I202" s="57"/>
      <c r="J202" s="21"/>
      <c r="T202" s="58"/>
      <c r="U202" s="58"/>
      <c r="V202" s="58"/>
      <c r="W202" s="58"/>
      <c r="X202" s="58"/>
      <c r="Y202" s="58"/>
      <c r="Z202" s="59"/>
      <c r="AB202" s="60"/>
      <c r="AC202" s="61"/>
      <c r="AD202" s="60"/>
      <c r="AE202" s="61"/>
      <c r="AF202" s="60"/>
      <c r="AG202" s="61"/>
      <c r="AH202" s="60"/>
      <c r="AI202" s="61"/>
      <c r="AJ202" s="61"/>
      <c r="AK202" s="61"/>
      <c r="AL202" s="60"/>
      <c r="AM202" s="61"/>
    </row>
    <row r="203" spans="1:51" x14ac:dyDescent="0.3">
      <c r="A203" s="22"/>
      <c r="B203" s="21"/>
      <c r="C203" s="21"/>
      <c r="D203" s="20"/>
      <c r="E203" s="20"/>
      <c r="F203" s="21"/>
      <c r="G203" s="22"/>
      <c r="H203" s="20"/>
      <c r="I203" s="57"/>
      <c r="J203" s="21"/>
      <c r="T203" s="58"/>
      <c r="U203" s="58"/>
      <c r="V203" s="58"/>
      <c r="W203" s="58"/>
      <c r="X203" s="58"/>
      <c r="Y203" s="58"/>
      <c r="Z203" s="59"/>
      <c r="AB203" s="60"/>
      <c r="AC203" s="61"/>
      <c r="AD203" s="60"/>
      <c r="AE203" s="61"/>
      <c r="AF203" s="60"/>
      <c r="AG203" s="61"/>
      <c r="AH203" s="60"/>
      <c r="AI203" s="61"/>
      <c r="AJ203" s="61"/>
      <c r="AK203" s="61"/>
      <c r="AL203" s="60"/>
      <c r="AM203" s="61"/>
    </row>
    <row r="204" spans="1:51" x14ac:dyDescent="0.3">
      <c r="A204" s="22"/>
      <c r="B204" s="21"/>
      <c r="C204" s="21"/>
      <c r="D204" s="20"/>
      <c r="E204" s="20"/>
      <c r="F204" s="21"/>
      <c r="G204" s="22"/>
      <c r="H204" s="20"/>
      <c r="I204" s="57"/>
      <c r="J204" s="21"/>
      <c r="T204" s="58"/>
      <c r="U204" s="58"/>
      <c r="V204" s="58"/>
      <c r="W204" s="58"/>
      <c r="X204" s="58"/>
      <c r="Y204" s="58"/>
      <c r="Z204" s="59"/>
      <c r="AB204" s="60"/>
      <c r="AC204" s="61"/>
      <c r="AD204" s="60"/>
      <c r="AE204" s="61"/>
      <c r="AF204" s="60"/>
      <c r="AG204" s="61"/>
      <c r="AH204" s="60"/>
      <c r="AI204" s="61"/>
      <c r="AJ204" s="61"/>
      <c r="AK204" s="61"/>
      <c r="AL204" s="60"/>
      <c r="AM204" s="61"/>
    </row>
    <row r="205" spans="1:51" x14ac:dyDescent="0.3">
      <c r="A205" s="22"/>
      <c r="B205" s="21"/>
      <c r="C205" s="21"/>
      <c r="D205" s="20"/>
      <c r="E205" s="20"/>
      <c r="F205" s="21"/>
      <c r="G205" s="22"/>
      <c r="H205" s="20"/>
      <c r="I205" s="57"/>
      <c r="J205" s="21"/>
      <c r="T205" s="58"/>
      <c r="U205" s="58"/>
      <c r="V205" s="58"/>
      <c r="W205" s="58"/>
      <c r="X205" s="58"/>
      <c r="Y205" s="58"/>
      <c r="Z205" s="59"/>
      <c r="AB205" s="60"/>
      <c r="AC205" s="61"/>
      <c r="AD205" s="60"/>
      <c r="AE205" s="61"/>
      <c r="AF205" s="60"/>
      <c r="AG205" s="61"/>
      <c r="AH205" s="60"/>
      <c r="AI205" s="61"/>
      <c r="AJ205" s="61"/>
      <c r="AK205" s="61"/>
      <c r="AL205" s="60"/>
      <c r="AM205" s="61"/>
    </row>
    <row r="206" spans="1:51" x14ac:dyDescent="0.3">
      <c r="A206" s="22"/>
      <c r="B206" s="21"/>
      <c r="C206" s="21"/>
      <c r="D206" s="20"/>
      <c r="E206" s="20"/>
      <c r="F206" s="21"/>
      <c r="G206" s="22"/>
      <c r="H206" s="20"/>
      <c r="I206" s="57"/>
      <c r="J206" s="21"/>
      <c r="T206" s="58"/>
      <c r="U206" s="58"/>
      <c r="V206" s="58"/>
      <c r="W206" s="58"/>
      <c r="X206" s="58"/>
      <c r="Y206" s="58"/>
      <c r="Z206" s="59"/>
      <c r="AB206" s="60"/>
      <c r="AC206" s="61"/>
      <c r="AD206" s="60"/>
      <c r="AE206" s="61"/>
      <c r="AF206" s="60"/>
      <c r="AG206" s="61"/>
      <c r="AH206" s="60"/>
      <c r="AI206" s="61"/>
      <c r="AJ206" s="61"/>
      <c r="AK206" s="61"/>
      <c r="AL206" s="60"/>
      <c r="AM206" s="61"/>
    </row>
    <row r="207" spans="1:51" x14ac:dyDescent="0.3">
      <c r="A207" s="22"/>
      <c r="B207" s="21"/>
      <c r="C207" s="21"/>
      <c r="D207" s="20"/>
      <c r="E207" s="20"/>
      <c r="F207" s="21"/>
      <c r="G207" s="22"/>
      <c r="H207" s="20"/>
      <c r="I207" s="57"/>
      <c r="J207" s="21"/>
      <c r="T207" s="58"/>
      <c r="U207" s="58"/>
      <c r="V207" s="58"/>
      <c r="W207" s="58"/>
      <c r="X207" s="58"/>
      <c r="Y207" s="58"/>
      <c r="Z207" s="59"/>
      <c r="AB207" s="60"/>
      <c r="AC207" s="61"/>
      <c r="AD207" s="60"/>
      <c r="AE207" s="61"/>
      <c r="AF207" s="60"/>
      <c r="AG207" s="61"/>
      <c r="AH207" s="60"/>
      <c r="AI207" s="61"/>
      <c r="AJ207" s="61"/>
      <c r="AK207" s="61"/>
      <c r="AL207" s="60"/>
      <c r="AM207" s="61"/>
    </row>
    <row r="208" spans="1:51" x14ac:dyDescent="0.3">
      <c r="A208" s="22"/>
      <c r="B208" s="21"/>
      <c r="C208" s="21"/>
      <c r="D208" s="20"/>
      <c r="E208" s="20"/>
      <c r="F208" s="21"/>
      <c r="G208" s="22"/>
      <c r="H208" s="20"/>
      <c r="I208" s="57"/>
      <c r="J208" s="21"/>
      <c r="T208" s="58"/>
      <c r="U208" s="58"/>
      <c r="V208" s="58"/>
      <c r="W208" s="58"/>
      <c r="X208" s="58"/>
      <c r="Y208" s="58"/>
      <c r="Z208" s="59"/>
      <c r="AB208" s="60"/>
      <c r="AC208" s="61"/>
      <c r="AD208" s="60"/>
      <c r="AE208" s="61"/>
      <c r="AF208" s="60"/>
      <c r="AG208" s="61"/>
      <c r="AH208" s="60"/>
      <c r="AI208" s="61"/>
      <c r="AJ208" s="61"/>
      <c r="AK208" s="61"/>
      <c r="AL208" s="60"/>
      <c r="AM208" s="61"/>
    </row>
    <row r="209" spans="1:39" x14ac:dyDescent="0.3">
      <c r="A209" s="22"/>
      <c r="B209" s="21"/>
      <c r="C209" s="21"/>
      <c r="D209" s="20"/>
      <c r="E209" s="20"/>
      <c r="F209" s="21"/>
      <c r="G209" s="22"/>
      <c r="H209" s="20"/>
      <c r="I209" s="57"/>
      <c r="J209" s="21"/>
      <c r="T209" s="58"/>
      <c r="U209" s="58"/>
      <c r="V209" s="58"/>
      <c r="W209" s="58"/>
      <c r="X209" s="58"/>
      <c r="Y209" s="58"/>
      <c r="Z209" s="59"/>
      <c r="AB209" s="60"/>
      <c r="AC209" s="61"/>
      <c r="AD209" s="60"/>
      <c r="AE209" s="61"/>
      <c r="AF209" s="60"/>
      <c r="AG209" s="61"/>
      <c r="AH209" s="60"/>
      <c r="AI209" s="61"/>
      <c r="AJ209" s="61"/>
      <c r="AK209" s="61"/>
      <c r="AL209" s="60"/>
      <c r="AM209" s="61"/>
    </row>
    <row r="210" spans="1:39" x14ac:dyDescent="0.3">
      <c r="A210" s="22"/>
      <c r="B210" s="21"/>
      <c r="C210" s="21"/>
      <c r="D210" s="20"/>
      <c r="E210" s="20"/>
      <c r="F210" s="21"/>
      <c r="G210" s="22"/>
      <c r="H210" s="20"/>
      <c r="I210" s="57"/>
      <c r="J210" s="21"/>
      <c r="T210" s="58"/>
      <c r="U210" s="58"/>
      <c r="V210" s="58"/>
      <c r="W210" s="58"/>
      <c r="X210" s="58"/>
      <c r="Y210" s="58"/>
      <c r="Z210" s="59"/>
      <c r="AB210" s="60"/>
      <c r="AC210" s="61"/>
      <c r="AD210" s="60"/>
      <c r="AE210" s="61"/>
      <c r="AF210" s="60"/>
      <c r="AG210" s="61"/>
      <c r="AH210" s="60"/>
      <c r="AI210" s="61"/>
      <c r="AJ210" s="61"/>
      <c r="AK210" s="61"/>
      <c r="AL210" s="60"/>
      <c r="AM210" s="61"/>
    </row>
    <row r="211" spans="1:39" x14ac:dyDescent="0.3">
      <c r="A211" s="22"/>
      <c r="B211" s="21"/>
      <c r="C211" s="21"/>
      <c r="D211" s="20"/>
      <c r="E211" s="20"/>
      <c r="F211" s="21"/>
      <c r="G211" s="22"/>
      <c r="H211" s="20"/>
      <c r="I211" s="57"/>
      <c r="J211" s="21"/>
      <c r="T211" s="58"/>
      <c r="U211" s="58"/>
      <c r="V211" s="58"/>
      <c r="W211" s="58"/>
      <c r="X211" s="58"/>
      <c r="Y211" s="58"/>
      <c r="Z211" s="59"/>
      <c r="AB211" s="60"/>
      <c r="AC211" s="61"/>
      <c r="AD211" s="60"/>
      <c r="AE211" s="61"/>
      <c r="AF211" s="60"/>
      <c r="AG211" s="61"/>
      <c r="AH211" s="60"/>
      <c r="AI211" s="61"/>
      <c r="AJ211" s="61"/>
      <c r="AK211" s="61"/>
      <c r="AL211" s="60"/>
      <c r="AM211" s="61"/>
    </row>
    <row r="212" spans="1:39" x14ac:dyDescent="0.3">
      <c r="A212" s="22"/>
      <c r="B212" s="21"/>
      <c r="C212" s="21"/>
      <c r="D212" s="20"/>
      <c r="E212" s="20"/>
      <c r="F212" s="21"/>
      <c r="G212" s="22"/>
      <c r="H212" s="20"/>
      <c r="I212" s="57"/>
      <c r="J212" s="21"/>
      <c r="T212" s="58"/>
      <c r="U212" s="58"/>
      <c r="V212" s="58"/>
      <c r="W212" s="58"/>
      <c r="X212" s="58"/>
      <c r="Y212" s="58"/>
      <c r="Z212" s="59"/>
      <c r="AB212" s="60"/>
      <c r="AC212" s="61"/>
      <c r="AD212" s="60"/>
      <c r="AE212" s="61"/>
      <c r="AF212" s="60"/>
      <c r="AG212" s="61"/>
      <c r="AH212" s="60"/>
      <c r="AI212" s="61"/>
      <c r="AJ212" s="61"/>
      <c r="AK212" s="61"/>
      <c r="AL212" s="60"/>
      <c r="AM212" s="61"/>
    </row>
    <row r="213" spans="1:39" x14ac:dyDescent="0.3">
      <c r="B213" s="21"/>
      <c r="C213" s="21"/>
      <c r="D213" s="20"/>
      <c r="E213" s="20"/>
      <c r="F213" s="21"/>
      <c r="G213" s="22"/>
      <c r="H213" s="20"/>
      <c r="I213" s="57"/>
      <c r="J213" s="21"/>
      <c r="T213" s="58"/>
      <c r="U213" s="58"/>
      <c r="V213" s="58"/>
      <c r="W213" s="58"/>
      <c r="X213" s="58"/>
      <c r="Y213" s="58"/>
      <c r="Z213" s="59"/>
      <c r="AB213" s="60"/>
      <c r="AC213" s="61"/>
      <c r="AD213" s="60"/>
      <c r="AE213" s="61"/>
      <c r="AF213" s="60"/>
      <c r="AG213" s="61"/>
      <c r="AH213" s="60"/>
      <c r="AI213" s="61"/>
      <c r="AJ213" s="61"/>
      <c r="AK213" s="61"/>
      <c r="AL213" s="60"/>
      <c r="AM213" s="61"/>
    </row>
    <row r="214" spans="1:39" x14ac:dyDescent="0.3">
      <c r="I214" s="58"/>
      <c r="T214" s="58"/>
      <c r="U214" s="58"/>
      <c r="V214" s="58"/>
      <c r="W214" s="58"/>
      <c r="X214" s="58"/>
      <c r="Y214" s="58"/>
      <c r="Z214" s="59"/>
      <c r="AB214" s="60"/>
      <c r="AC214" s="61"/>
      <c r="AD214" s="60"/>
      <c r="AE214" s="61"/>
      <c r="AF214" s="60"/>
      <c r="AG214" s="61"/>
      <c r="AH214" s="60"/>
      <c r="AI214" s="61"/>
      <c r="AJ214" s="61"/>
      <c r="AK214" s="61"/>
      <c r="AL214" s="60"/>
      <c r="AM214" s="61"/>
    </row>
    <row r="215" spans="1:39" x14ac:dyDescent="0.3">
      <c r="I215" s="58"/>
      <c r="T215" s="58"/>
      <c r="U215" s="58"/>
      <c r="V215" s="58"/>
      <c r="W215" s="58"/>
      <c r="X215" s="58"/>
      <c r="Y215" s="58"/>
      <c r="Z215" s="59"/>
      <c r="AB215" s="60"/>
      <c r="AC215" s="61"/>
      <c r="AD215" s="60"/>
      <c r="AE215" s="61"/>
      <c r="AF215" s="60"/>
      <c r="AG215" s="61"/>
      <c r="AH215" s="60"/>
      <c r="AI215" s="61"/>
      <c r="AJ215" s="61"/>
      <c r="AK215" s="61"/>
      <c r="AL215" s="60"/>
      <c r="AM215" s="61"/>
    </row>
    <row r="216" spans="1:39" x14ac:dyDescent="0.3">
      <c r="I216" s="58"/>
      <c r="T216" s="58"/>
      <c r="U216" s="58"/>
      <c r="V216" s="58"/>
      <c r="W216" s="58"/>
      <c r="X216" s="58"/>
      <c r="Y216" s="58"/>
      <c r="Z216" s="59"/>
      <c r="AB216" s="60"/>
      <c r="AC216" s="61"/>
      <c r="AD216" s="60"/>
      <c r="AE216" s="61"/>
      <c r="AF216" s="60"/>
      <c r="AG216" s="61"/>
      <c r="AH216" s="60"/>
      <c r="AI216" s="61"/>
      <c r="AJ216" s="61"/>
      <c r="AK216" s="61"/>
      <c r="AL216" s="60"/>
      <c r="AM216" s="61"/>
    </row>
    <row r="217" spans="1:39" x14ac:dyDescent="0.3">
      <c r="I217" s="58"/>
      <c r="T217" s="58"/>
      <c r="U217" s="58"/>
      <c r="V217" s="58"/>
      <c r="W217" s="58"/>
      <c r="X217" s="58"/>
      <c r="Y217" s="58"/>
      <c r="Z217" s="59"/>
      <c r="AB217" s="60"/>
      <c r="AC217" s="61"/>
      <c r="AD217" s="60"/>
      <c r="AE217" s="61"/>
      <c r="AF217" s="60"/>
      <c r="AG217" s="61"/>
      <c r="AH217" s="60"/>
      <c r="AI217" s="61"/>
      <c r="AJ217" s="61"/>
      <c r="AK217" s="61"/>
      <c r="AL217" s="60"/>
      <c r="AM217" s="61"/>
    </row>
    <row r="218" spans="1:39" x14ac:dyDescent="0.3">
      <c r="I218" s="58"/>
      <c r="T218" s="58"/>
      <c r="U218" s="58"/>
      <c r="V218" s="58"/>
      <c r="W218" s="58"/>
      <c r="X218" s="58"/>
      <c r="Y218" s="58"/>
      <c r="Z218" s="59"/>
      <c r="AB218" s="60"/>
      <c r="AC218" s="61"/>
      <c r="AD218" s="60"/>
      <c r="AE218" s="61"/>
      <c r="AF218" s="60"/>
      <c r="AG218" s="61"/>
      <c r="AH218" s="60"/>
      <c r="AI218" s="61"/>
      <c r="AJ218" s="61"/>
      <c r="AK218" s="61"/>
      <c r="AL218" s="60"/>
      <c r="AM218" s="61"/>
    </row>
  </sheetData>
  <sheetProtection formatCells="0" sort="0" autoFilter="0"/>
  <sortState xmlns:xlrd2="http://schemas.microsoft.com/office/spreadsheetml/2017/richdata2" ref="A32:AY200">
    <sortCondition descending="1" ref="I6:I200"/>
    <sortCondition ref="J6:J200"/>
  </sortState>
  <dataConsolidate/>
  <mergeCells count="6">
    <mergeCell ref="AB5:AC5"/>
    <mergeCell ref="AD5:AE5"/>
    <mergeCell ref="AF5:AG5"/>
    <mergeCell ref="AH5:AI5"/>
    <mergeCell ref="AL5:AM5"/>
    <mergeCell ref="AJ5:AK5"/>
  </mergeCells>
  <conditionalFormatting sqref="L6:Q199">
    <cfRule type="cellIs" dxfId="35" priority="24" operator="equal">
      <formula>20</formula>
    </cfRule>
  </conditionalFormatting>
  <conditionalFormatting sqref="AR6:AR199">
    <cfRule type="cellIs" dxfId="34" priority="22" operator="equal">
      <formula>"Kevés v."</formula>
    </cfRule>
  </conditionalFormatting>
  <conditionalFormatting sqref="AO6:AO199">
    <cfRule type="cellIs" dxfId="33" priority="21" operator="lessThan">
      <formula>4</formula>
    </cfRule>
  </conditionalFormatting>
  <conditionalFormatting sqref="T6:Z199">
    <cfRule type="cellIs" dxfId="32" priority="19" operator="equal">
      <formula>0</formula>
    </cfRule>
  </conditionalFormatting>
  <conditionalFormatting sqref="AB6:AM199">
    <cfRule type="cellIs" dxfId="31" priority="18" operator="equal">
      <formula>"-"</formula>
    </cfRule>
  </conditionalFormatting>
  <conditionalFormatting sqref="F6:F48 F60:F199 F51:F57">
    <cfRule type="cellIs" dxfId="30" priority="13" operator="equal">
      <formula>7</formula>
    </cfRule>
    <cfRule type="cellIs" dxfId="29" priority="14" operator="equal">
      <formula>6</formula>
    </cfRule>
    <cfRule type="cellIs" dxfId="28" priority="15" operator="equal">
      <formula>3</formula>
    </cfRule>
    <cfRule type="cellIs" dxfId="27" priority="16" operator="equal">
      <formula>2</formula>
    </cfRule>
    <cfRule type="cellIs" dxfId="26" priority="17" operator="equal">
      <formula>1</formula>
    </cfRule>
  </conditionalFormatting>
  <conditionalFormatting sqref="F57:F60">
    <cfRule type="cellIs" dxfId="25" priority="8" operator="equal">
      <formula>7</formula>
    </cfRule>
    <cfRule type="cellIs" dxfId="24" priority="9" operator="equal">
      <formula>6</formula>
    </cfRule>
    <cfRule type="cellIs" dxfId="23" priority="10" operator="equal">
      <formula>3</formula>
    </cfRule>
    <cfRule type="cellIs" dxfId="22" priority="11" operator="equal">
      <formula>2</formula>
    </cfRule>
    <cfRule type="cellIs" dxfId="21" priority="12" operator="equal">
      <formula>1</formula>
    </cfRule>
  </conditionalFormatting>
  <conditionalFormatting sqref="F48:F51">
    <cfRule type="cellIs" dxfId="20" priority="3" operator="equal">
      <formula>7</formula>
    </cfRule>
    <cfRule type="cellIs" dxfId="19" priority="4" operator="equal">
      <formula>6</formula>
    </cfRule>
    <cfRule type="cellIs" dxfId="18" priority="5" operator="equal">
      <formula>3</formula>
    </cfRule>
    <cfRule type="cellIs" dxfId="17" priority="6" operator="equal">
      <formula>2</formula>
    </cfRule>
  </conditionalFormatting>
  <conditionalFormatting sqref="K6:K199">
    <cfRule type="cellIs" dxfId="16" priority="2" operator="equal">
      <formula>1</formula>
    </cfRule>
  </conditionalFormatting>
  <conditionalFormatting sqref="AY6:AY199">
    <cfRule type="cellIs" dxfId="15" priority="1" operator="equal">
      <formula>0</formula>
    </cfRule>
  </conditionalFormatting>
  <dataValidations count="3">
    <dataValidation type="list" allowBlank="1" showInputMessage="1" showErrorMessage="1" errorTitle="Hiba!" error="Válassz a legördülő listából!" sqref="D6:D199" xr:uid="{00000000-0002-0000-0100-000000000000}">
      <formula1>"feeder,method feeder,úszós,gy"</formula1>
    </dataValidation>
    <dataValidation type="list" allowBlank="1" showInputMessage="1" showErrorMessage="1" errorTitle="Hiba!" error="Válassz a legördülő listából!" sqref="E6:E199" xr:uid="{00000000-0002-0000-0100-000001000000}">
      <formula1>"felnőtt,női,ifjúsági,gyermek"</formula1>
    </dataValidation>
    <dataValidation type="list" allowBlank="1" showInputMessage="1" showErrorMessage="1" error="Ilyen szektor nincs!" sqref="G6:G199" xr:uid="{00000000-0002-0000-0100-000002000000}">
      <formula1>"A,B,C,D,E,F,G,H,I,J,K,L,GY"</formula1>
    </dataValidation>
  </dataValidations>
  <printOptions horizontalCentered="1"/>
  <pageMargins left="0.23622047244094491" right="0.23622047244094491" top="0.39370078740157483" bottom="0.23622047244094491" header="0.19685039370078741" footer="0.19685039370078741"/>
  <pageSetup paperSize="9" orientation="landscape" r:id="rId1"/>
  <headerFooter>
    <oddHeader>&amp;R&amp;P. oldal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Makró_alap_Ssz">
                <anchor>
                  <from>
                    <xdr:col>0</xdr:col>
                    <xdr:colOff>7620</xdr:colOff>
                    <xdr:row>4</xdr:row>
                    <xdr:rowOff>22860</xdr:rowOff>
                  </from>
                  <to>
                    <xdr:col>0</xdr:col>
                    <xdr:colOff>312420</xdr:colOff>
                    <xdr:row>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Button 3">
              <controlPr defaultSize="0" print="0" autoFill="0" autoPict="0" macro="[0]!Makró_alap_Nev" altText="Név szerinti sorrendezés">
                <anchor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1</xdr:col>
                    <xdr:colOff>1798320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6" name="Button 8">
              <controlPr defaultSize="0" print="0" autoFill="0" autoPict="0" macro="[0]!Makró_alap_SzektorRajthely">
                <anchor>
                  <from>
                    <xdr:col>6</xdr:col>
                    <xdr:colOff>7620</xdr:colOff>
                    <xdr:row>4</xdr:row>
                    <xdr:rowOff>0</xdr:rowOff>
                  </from>
                  <to>
                    <xdr:col>7</xdr:col>
                    <xdr:colOff>7620</xdr:colOff>
                    <xdr:row>4</xdr:row>
                    <xdr:rowOff>411480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7">
    <tabColor rgb="FF00B0F0"/>
  </sheetPr>
  <dimension ref="A1:L19"/>
  <sheetViews>
    <sheetView showGridLines="0" showRowColHeaders="0" workbookViewId="0">
      <selection activeCell="A5" sqref="A5"/>
    </sheetView>
  </sheetViews>
  <sheetFormatPr defaultRowHeight="14.4" x14ac:dyDescent="0.3"/>
  <cols>
    <col min="2" max="2" width="4.88671875" customWidth="1"/>
    <col min="3" max="3" width="27.109375" customWidth="1"/>
    <col min="4" max="4" width="24.33203125" customWidth="1"/>
    <col min="5" max="5" width="16.6640625" style="126" customWidth="1"/>
    <col min="6" max="6" width="11.88671875" style="126" customWidth="1"/>
    <col min="7" max="7" width="7.5546875" style="18" bestFit="1" customWidth="1"/>
    <col min="8" max="8" width="8.109375" style="19" customWidth="1"/>
  </cols>
  <sheetData>
    <row r="1" spans="1:12" ht="15" customHeight="1" x14ac:dyDescent="0.3">
      <c r="A1" s="83" t="str">
        <f>alap!A1</f>
        <v>XXIV. TÓPARTI RANDEVÚ - ST. HUBERTUS KUPA</v>
      </c>
      <c r="B1" s="23"/>
    </row>
    <row r="2" spans="1:12" ht="17.100000000000001" customHeight="1" x14ac:dyDescent="0.3">
      <c r="A2" s="23"/>
      <c r="B2" s="23"/>
      <c r="D2" t="s">
        <v>69</v>
      </c>
      <c r="I2" s="348"/>
      <c r="J2" s="348"/>
    </row>
    <row r="3" spans="1:12" x14ac:dyDescent="0.3">
      <c r="A3" s="175" t="str">
        <f>alap!A3</f>
        <v>2022.06.11. szombat</v>
      </c>
      <c r="B3" s="23"/>
      <c r="J3" s="133" t="s">
        <v>439</v>
      </c>
    </row>
    <row r="4" spans="1:12" ht="30" customHeight="1" x14ac:dyDescent="0.3">
      <c r="A4" s="164"/>
      <c r="B4" s="164"/>
      <c r="C4" s="164"/>
      <c r="D4" s="164"/>
      <c r="E4" s="204"/>
      <c r="F4" s="204"/>
      <c r="G4" s="165"/>
      <c r="H4" s="174"/>
      <c r="I4" s="347"/>
      <c r="J4" s="347"/>
    </row>
    <row r="5" spans="1:12" ht="15" thickBot="1" x14ac:dyDescent="0.35">
      <c r="A5" s="6" t="s">
        <v>13</v>
      </c>
      <c r="B5" s="4" t="s">
        <v>0</v>
      </c>
      <c r="C5" s="5" t="s">
        <v>1</v>
      </c>
      <c r="D5" s="5" t="s">
        <v>2</v>
      </c>
      <c r="E5" s="6" t="s">
        <v>4</v>
      </c>
      <c r="F5" s="6" t="s">
        <v>3</v>
      </c>
      <c r="G5" s="4" t="s">
        <v>6</v>
      </c>
      <c r="H5" s="7" t="s">
        <v>7</v>
      </c>
      <c r="I5" s="4" t="s">
        <v>18</v>
      </c>
      <c r="J5" s="4" t="s">
        <v>12</v>
      </c>
    </row>
    <row r="6" spans="1:12" ht="15" thickTop="1" x14ac:dyDescent="0.3">
      <c r="A6" s="205" t="s">
        <v>20</v>
      </c>
      <c r="B6" s="206">
        <v>143</v>
      </c>
      <c r="C6" s="206" t="s">
        <v>404</v>
      </c>
      <c r="D6" s="206" t="s">
        <v>146</v>
      </c>
      <c r="E6" s="207" t="s">
        <v>192</v>
      </c>
      <c r="F6" s="207" t="s">
        <v>10</v>
      </c>
      <c r="G6" s="208" t="s">
        <v>352</v>
      </c>
      <c r="H6" s="209">
        <v>4</v>
      </c>
      <c r="I6" s="210">
        <v>15150</v>
      </c>
      <c r="J6" s="206">
        <v>1</v>
      </c>
    </row>
    <row r="7" spans="1:12" x14ac:dyDescent="0.3">
      <c r="A7" s="211" t="s">
        <v>19</v>
      </c>
      <c r="B7" s="212">
        <v>123</v>
      </c>
      <c r="C7" s="212" t="s">
        <v>350</v>
      </c>
      <c r="D7" s="212" t="s">
        <v>351</v>
      </c>
      <c r="E7" s="182" t="s">
        <v>192</v>
      </c>
      <c r="F7" s="182" t="s">
        <v>10</v>
      </c>
      <c r="G7" s="213" t="s">
        <v>352</v>
      </c>
      <c r="H7" s="53">
        <v>1</v>
      </c>
      <c r="I7" s="52">
        <v>6000</v>
      </c>
      <c r="J7" s="212">
        <v>2</v>
      </c>
      <c r="L7" s="51"/>
    </row>
    <row r="8" spans="1:12" ht="15" thickBot="1" x14ac:dyDescent="0.35">
      <c r="A8" s="214" t="s">
        <v>21</v>
      </c>
      <c r="B8" s="215">
        <v>134</v>
      </c>
      <c r="C8" s="215" t="s">
        <v>387</v>
      </c>
      <c r="D8" s="215" t="s">
        <v>315</v>
      </c>
      <c r="E8" s="216" t="s">
        <v>192</v>
      </c>
      <c r="F8" s="216" t="s">
        <v>10</v>
      </c>
      <c r="G8" s="217" t="s">
        <v>352</v>
      </c>
      <c r="H8" s="218">
        <v>2</v>
      </c>
      <c r="I8" s="219">
        <v>5450</v>
      </c>
      <c r="J8" s="215">
        <v>3</v>
      </c>
    </row>
    <row r="9" spans="1:12" x14ac:dyDescent="0.3">
      <c r="A9" s="205" t="s">
        <v>30</v>
      </c>
      <c r="B9" s="206">
        <v>116</v>
      </c>
      <c r="C9" s="206" t="s">
        <v>336</v>
      </c>
      <c r="D9" s="206" t="s">
        <v>315</v>
      </c>
      <c r="E9" s="207" t="s">
        <v>192</v>
      </c>
      <c r="F9" s="207" t="s">
        <v>10</v>
      </c>
      <c r="G9" s="220" t="s">
        <v>352</v>
      </c>
      <c r="H9" s="209">
        <v>5</v>
      </c>
      <c r="I9" s="210">
        <v>3650</v>
      </c>
      <c r="J9" s="206">
        <v>4</v>
      </c>
    </row>
    <row r="10" spans="1:12" x14ac:dyDescent="0.3">
      <c r="A10" s="211" t="s">
        <v>29</v>
      </c>
      <c r="B10" s="212">
        <v>144</v>
      </c>
      <c r="C10" s="212" t="s">
        <v>405</v>
      </c>
      <c r="D10" s="212" t="s">
        <v>146</v>
      </c>
      <c r="E10" s="182" t="s">
        <v>192</v>
      </c>
      <c r="F10" s="182" t="s">
        <v>10</v>
      </c>
      <c r="G10" s="213" t="s">
        <v>352</v>
      </c>
      <c r="H10" s="53">
        <v>3</v>
      </c>
      <c r="I10" s="52">
        <v>3525</v>
      </c>
      <c r="J10" s="212">
        <v>5</v>
      </c>
    </row>
    <row r="11" spans="1:12" x14ac:dyDescent="0.3">
      <c r="A11" s="211" t="s">
        <v>28</v>
      </c>
      <c r="B11" s="212"/>
      <c r="C11" s="212"/>
      <c r="D11" s="212"/>
      <c r="E11" s="182"/>
      <c r="F11" s="182"/>
      <c r="G11" s="213"/>
      <c r="H11" s="53"/>
      <c r="I11" s="52"/>
      <c r="J11" s="212"/>
    </row>
    <row r="12" spans="1:12" x14ac:dyDescent="0.3">
      <c r="A12" s="211" t="s">
        <v>27</v>
      </c>
      <c r="B12" s="212"/>
      <c r="C12" s="212"/>
      <c r="D12" s="212"/>
      <c r="E12" s="182"/>
      <c r="F12" s="182"/>
      <c r="G12" s="213"/>
      <c r="H12" s="53"/>
      <c r="I12" s="52"/>
      <c r="J12" s="212"/>
    </row>
    <row r="13" spans="1:12" x14ac:dyDescent="0.3">
      <c r="A13" s="211" t="s">
        <v>22</v>
      </c>
      <c r="B13" s="212"/>
      <c r="C13" s="212"/>
      <c r="D13" s="212"/>
      <c r="E13" s="182"/>
      <c r="F13" s="182"/>
      <c r="G13" s="213"/>
      <c r="H13" s="53"/>
      <c r="I13" s="52"/>
      <c r="J13" s="212"/>
    </row>
    <row r="14" spans="1:12" x14ac:dyDescent="0.3">
      <c r="A14" s="211" t="s">
        <v>23</v>
      </c>
      <c r="B14" s="212"/>
      <c r="C14" s="212"/>
      <c r="D14" s="212"/>
      <c r="E14" s="182"/>
      <c r="F14" s="182"/>
      <c r="G14" s="213"/>
      <c r="H14" s="53"/>
      <c r="I14" s="52"/>
      <c r="J14" s="212"/>
    </row>
    <row r="15" spans="1:12" x14ac:dyDescent="0.3">
      <c r="A15" s="211" t="s">
        <v>24</v>
      </c>
      <c r="B15" s="212"/>
      <c r="C15" s="212"/>
      <c r="D15" s="212"/>
      <c r="E15" s="182"/>
      <c r="F15" s="182"/>
      <c r="G15" s="213"/>
      <c r="H15" s="53"/>
      <c r="I15" s="52"/>
      <c r="J15" s="212"/>
    </row>
    <row r="16" spans="1:12" x14ac:dyDescent="0.3">
      <c r="A16" s="211" t="s">
        <v>25</v>
      </c>
      <c r="B16" s="212"/>
      <c r="C16" s="212"/>
      <c r="D16" s="212"/>
      <c r="E16" s="182"/>
      <c r="F16" s="182"/>
      <c r="G16" s="213"/>
      <c r="H16" s="53"/>
      <c r="I16" s="52"/>
      <c r="J16" s="212"/>
    </row>
    <row r="17" spans="1:10" x14ac:dyDescent="0.3">
      <c r="A17" s="211" t="s">
        <v>26</v>
      </c>
      <c r="B17" s="212"/>
      <c r="C17" s="212"/>
      <c r="D17" s="212"/>
      <c r="E17" s="182"/>
      <c r="F17" s="182"/>
      <c r="G17" s="213"/>
      <c r="H17" s="53"/>
      <c r="I17" s="52"/>
      <c r="J17" s="212"/>
    </row>
    <row r="18" spans="1:10" x14ac:dyDescent="0.3">
      <c r="A18" s="211" t="s">
        <v>410</v>
      </c>
      <c r="B18" s="11"/>
      <c r="C18" s="11"/>
      <c r="D18" s="11"/>
      <c r="E18" s="79"/>
      <c r="F18" s="79"/>
      <c r="G18" s="12"/>
      <c r="H18" s="334"/>
      <c r="I18" s="333"/>
      <c r="J18" s="11"/>
    </row>
    <row r="19" spans="1:10" x14ac:dyDescent="0.3">
      <c r="H19" s="48" t="s">
        <v>41</v>
      </c>
      <c r="I19" s="221">
        <f>SUM(I6:I18)</f>
        <v>33775</v>
      </c>
    </row>
  </sheetData>
  <sheetProtection formatCells="0" formatColumns="0" formatRows="0" sort="0" autoFilter="0" pivotTables="0"/>
  <mergeCells count="2">
    <mergeCell ref="I4:J4"/>
    <mergeCell ref="I2:J2"/>
  </mergeCells>
  <printOptions horizontalCentered="1"/>
  <pageMargins left="0.62992125984251968" right="0.62992125984251968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1" r:id="rId4" name="Button 5">
              <controlPr defaultSize="0" print="0" autoFill="0" autoPict="0" macro="[0]!Makró_sorr_A">
                <anchor>
                  <from>
                    <xdr:col>2</xdr:col>
                    <xdr:colOff>1379220</xdr:colOff>
                    <xdr:row>19</xdr:row>
                    <xdr:rowOff>182880</xdr:rowOff>
                  </from>
                  <to>
                    <xdr:col>3</xdr:col>
                    <xdr:colOff>259080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5" name="Button 6">
              <controlPr defaultSize="0" print="0" autoFill="0" autoPict="0" macro="[0]!makró_sorr_B">
                <anchor>
                  <from>
                    <xdr:col>3</xdr:col>
                    <xdr:colOff>350520</xdr:colOff>
                    <xdr:row>19</xdr:row>
                    <xdr:rowOff>182880</xdr:rowOff>
                  </from>
                  <to>
                    <xdr:col>3</xdr:col>
                    <xdr:colOff>1036320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6" name="Button 7">
              <controlPr defaultSize="0" print="0" autoFill="0" autoPict="0" macro="[0]!Makró_sorr_C">
                <anchor>
                  <from>
                    <xdr:col>3</xdr:col>
                    <xdr:colOff>1135380</xdr:colOff>
                    <xdr:row>19</xdr:row>
                    <xdr:rowOff>182880</xdr:rowOff>
                  </from>
                  <to>
                    <xdr:col>4</xdr:col>
                    <xdr:colOff>198120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7" name="Button 8">
              <controlPr defaultSize="0" print="0" autoFill="0" autoPict="0" macro="[0]!Makró_sorr_D">
                <anchor>
                  <from>
                    <xdr:col>4</xdr:col>
                    <xdr:colOff>297180</xdr:colOff>
                    <xdr:row>19</xdr:row>
                    <xdr:rowOff>182880</xdr:rowOff>
                  </from>
                  <to>
                    <xdr:col>4</xdr:col>
                    <xdr:colOff>982980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8" name="Button 9">
              <controlPr defaultSize="0" print="0" autoFill="0" autoPict="0" macro="[0]!Makró_sorr_E">
                <anchor>
                  <from>
                    <xdr:col>4</xdr:col>
                    <xdr:colOff>1074420</xdr:colOff>
                    <xdr:row>19</xdr:row>
                    <xdr:rowOff>182880</xdr:rowOff>
                  </from>
                  <to>
                    <xdr:col>5</xdr:col>
                    <xdr:colOff>647700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9" name="Button 10">
              <controlPr defaultSize="0" print="0" autoFill="0" autoPict="0" macro="[0]!Makró_sorr_F">
                <anchor>
                  <from>
                    <xdr:col>5</xdr:col>
                    <xdr:colOff>746760</xdr:colOff>
                    <xdr:row>19</xdr:row>
                    <xdr:rowOff>182880</xdr:rowOff>
                  </from>
                  <to>
                    <xdr:col>7</xdr:col>
                    <xdr:colOff>137160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0" name="Button 11">
              <controlPr defaultSize="0" print="0" autoFill="0" autoPict="0" macro="[0]!Makró_sorr_G">
                <anchor>
                  <from>
                    <xdr:col>2</xdr:col>
                    <xdr:colOff>1379220</xdr:colOff>
                    <xdr:row>22</xdr:row>
                    <xdr:rowOff>45720</xdr:rowOff>
                  </from>
                  <to>
                    <xdr:col>3</xdr:col>
                    <xdr:colOff>259080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1" name="Button 12">
              <controlPr defaultSize="0" print="0" autoFill="0" autoPict="0" macro="[0]!Makró_sorr_H">
                <anchor>
                  <from>
                    <xdr:col>3</xdr:col>
                    <xdr:colOff>350520</xdr:colOff>
                    <xdr:row>22</xdr:row>
                    <xdr:rowOff>45720</xdr:rowOff>
                  </from>
                  <to>
                    <xdr:col>3</xdr:col>
                    <xdr:colOff>1036320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2" name="Button 13">
              <controlPr defaultSize="0" print="0" autoFill="0" autoPict="0" macro="[0]!Makró_sorr_I">
                <anchor>
                  <from>
                    <xdr:col>3</xdr:col>
                    <xdr:colOff>1135380</xdr:colOff>
                    <xdr:row>22</xdr:row>
                    <xdr:rowOff>45720</xdr:rowOff>
                  </from>
                  <to>
                    <xdr:col>4</xdr:col>
                    <xdr:colOff>198120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3" name="Button 14">
              <controlPr defaultSize="0" print="0" autoFill="0" autoPict="0" macro="[0]!Makró_sorr_U">
                <anchor>
                  <from>
                    <xdr:col>3</xdr:col>
                    <xdr:colOff>1333500</xdr:colOff>
                    <xdr:row>24</xdr:row>
                    <xdr:rowOff>83820</xdr:rowOff>
                  </from>
                  <to>
                    <xdr:col>4</xdr:col>
                    <xdr:colOff>792480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4" name="Button 16">
              <controlPr defaultSize="0" print="0" autoFill="0" autoPict="0" macro="[0]!Makró_sorr_J">
                <anchor>
                  <from>
                    <xdr:col>4</xdr:col>
                    <xdr:colOff>297180</xdr:colOff>
                    <xdr:row>22</xdr:row>
                    <xdr:rowOff>45720</xdr:rowOff>
                  </from>
                  <to>
                    <xdr:col>4</xdr:col>
                    <xdr:colOff>982980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15" name="Button 18">
              <controlPr defaultSize="0" print="0" autoFill="0" autoPict="0" macro="[0]!Makró_sorr_L">
                <anchor>
                  <from>
                    <xdr:col>5</xdr:col>
                    <xdr:colOff>746760</xdr:colOff>
                    <xdr:row>22</xdr:row>
                    <xdr:rowOff>38100</xdr:rowOff>
                  </from>
                  <to>
                    <xdr:col>7</xdr:col>
                    <xdr:colOff>137160</xdr:colOff>
                    <xdr:row>23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16" name="Button 20">
              <controlPr defaultSize="0" print="0" autoFill="0" autoPict="0" macro="[0]!Makró_sorr_K">
                <anchor>
                  <from>
                    <xdr:col>4</xdr:col>
                    <xdr:colOff>1074420</xdr:colOff>
                    <xdr:row>22</xdr:row>
                    <xdr:rowOff>45720</xdr:rowOff>
                  </from>
                  <to>
                    <xdr:col>5</xdr:col>
                    <xdr:colOff>647700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3">
    <tabColor rgb="FF00B0F0"/>
  </sheetPr>
  <dimension ref="A1:I498"/>
  <sheetViews>
    <sheetView showGridLines="0" showRowColHeaders="0" workbookViewId="0">
      <selection activeCell="A4" sqref="A4"/>
    </sheetView>
  </sheetViews>
  <sheetFormatPr defaultRowHeight="14.4" x14ac:dyDescent="0.3"/>
  <cols>
    <col min="1" max="1" width="9.6640625" customWidth="1"/>
    <col min="2" max="2" width="27.109375" customWidth="1"/>
    <col min="3" max="3" width="24.33203125" customWidth="1"/>
    <col min="4" max="4" width="16.6640625" customWidth="1"/>
    <col min="5" max="5" width="11.88671875" customWidth="1"/>
    <col min="6" max="6" width="9.109375" style="18"/>
    <col min="7" max="7" width="9.109375" style="19"/>
    <col min="8" max="8" width="10.33203125" customWidth="1"/>
  </cols>
  <sheetData>
    <row r="1" spans="1:9" x14ac:dyDescent="0.3">
      <c r="A1" s="82" t="str">
        <f>alap!A1</f>
        <v>XXIV. TÓPARTI RANDEVÚ - ST. HUBERTUS KUPA</v>
      </c>
      <c r="H1" s="348"/>
      <c r="I1" s="348"/>
    </row>
    <row r="2" spans="1:9" ht="17.100000000000001" customHeight="1" x14ac:dyDescent="0.3">
      <c r="C2" t="s">
        <v>433</v>
      </c>
      <c r="I2" s="46" t="s">
        <v>440</v>
      </c>
    </row>
    <row r="3" spans="1:9" x14ac:dyDescent="0.3">
      <c r="A3" s="176" t="str">
        <f>alap!A3</f>
        <v>2022.06.11. szombat</v>
      </c>
      <c r="I3" s="46">
        <f>COUNTIF(E5:E165,"ifjúsági")</f>
        <v>5</v>
      </c>
    </row>
    <row r="4" spans="1:9" ht="18.75" customHeight="1" x14ac:dyDescent="0.3">
      <c r="A4" s="164"/>
      <c r="B4" s="164"/>
      <c r="C4" s="164"/>
      <c r="D4" s="164"/>
      <c r="E4" s="164"/>
      <c r="F4" s="165"/>
      <c r="G4" s="166" t="s">
        <v>42</v>
      </c>
      <c r="H4" s="167">
        <f>SUM(H6:H166)</f>
        <v>36200</v>
      </c>
      <c r="I4" s="164"/>
    </row>
    <row r="5" spans="1:9" ht="15" thickBot="1" x14ac:dyDescent="0.35">
      <c r="A5" s="4" t="s">
        <v>0</v>
      </c>
      <c r="B5" s="5" t="s">
        <v>1</v>
      </c>
      <c r="C5" s="5" t="s">
        <v>2</v>
      </c>
      <c r="D5" s="5" t="s">
        <v>4</v>
      </c>
      <c r="E5" s="5" t="s">
        <v>3</v>
      </c>
      <c r="F5" s="4" t="s">
        <v>6</v>
      </c>
      <c r="G5" s="7" t="s">
        <v>7</v>
      </c>
      <c r="H5" s="4" t="s">
        <v>18</v>
      </c>
      <c r="I5" s="4" t="s">
        <v>12</v>
      </c>
    </row>
    <row r="6" spans="1:9" ht="15" thickTop="1" x14ac:dyDescent="0.3">
      <c r="A6" s="26">
        <v>54</v>
      </c>
      <c r="B6" s="26" t="s">
        <v>241</v>
      </c>
      <c r="C6" s="26" t="s">
        <v>216</v>
      </c>
      <c r="D6" s="26" t="s">
        <v>9</v>
      </c>
      <c r="E6" s="26" t="s">
        <v>11</v>
      </c>
      <c r="F6" s="27" t="s">
        <v>363</v>
      </c>
      <c r="G6" s="28">
        <v>12</v>
      </c>
      <c r="H6" s="49">
        <v>16525</v>
      </c>
      <c r="I6" s="177">
        <v>2</v>
      </c>
    </row>
    <row r="7" spans="1:9" x14ac:dyDescent="0.3">
      <c r="A7" s="26">
        <v>114</v>
      </c>
      <c r="B7" s="26" t="s">
        <v>333</v>
      </c>
      <c r="C7" s="26" t="s">
        <v>297</v>
      </c>
      <c r="D7" s="26" t="s">
        <v>9</v>
      </c>
      <c r="E7" s="26" t="s">
        <v>11</v>
      </c>
      <c r="F7" s="27" t="s">
        <v>363</v>
      </c>
      <c r="G7" s="28">
        <v>6</v>
      </c>
      <c r="H7" s="49">
        <v>8775</v>
      </c>
      <c r="I7" s="177">
        <v>8</v>
      </c>
    </row>
    <row r="8" spans="1:9" x14ac:dyDescent="0.3">
      <c r="A8" s="29">
        <v>13</v>
      </c>
      <c r="B8" s="29" t="s">
        <v>149</v>
      </c>
      <c r="C8" s="29" t="s">
        <v>150</v>
      </c>
      <c r="D8" s="29" t="s">
        <v>116</v>
      </c>
      <c r="E8" s="29" t="s">
        <v>11</v>
      </c>
      <c r="F8" s="30" t="s">
        <v>360</v>
      </c>
      <c r="G8" s="31">
        <v>9</v>
      </c>
      <c r="H8" s="50">
        <v>4125</v>
      </c>
      <c r="I8" s="178">
        <v>5</v>
      </c>
    </row>
    <row r="9" spans="1:9" x14ac:dyDescent="0.3">
      <c r="A9" s="29">
        <v>110</v>
      </c>
      <c r="B9" s="29" t="s">
        <v>328</v>
      </c>
      <c r="C9" s="29" t="s">
        <v>216</v>
      </c>
      <c r="D9" s="29" t="s">
        <v>9</v>
      </c>
      <c r="E9" s="29" t="s">
        <v>11</v>
      </c>
      <c r="F9" s="30" t="s">
        <v>363</v>
      </c>
      <c r="G9" s="31">
        <v>11</v>
      </c>
      <c r="H9" s="50">
        <v>3400</v>
      </c>
      <c r="I9" s="178">
        <v>12</v>
      </c>
    </row>
    <row r="10" spans="1:9" x14ac:dyDescent="0.3">
      <c r="A10" s="29">
        <v>135</v>
      </c>
      <c r="B10" s="29" t="s">
        <v>389</v>
      </c>
      <c r="C10" s="29" t="s">
        <v>351</v>
      </c>
      <c r="D10" s="29" t="s">
        <v>116</v>
      </c>
      <c r="E10" s="29" t="s">
        <v>11</v>
      </c>
      <c r="F10" s="30" t="s">
        <v>356</v>
      </c>
      <c r="G10" s="31">
        <v>7</v>
      </c>
      <c r="H10" s="50">
        <v>3375</v>
      </c>
      <c r="I10" s="178">
        <v>7</v>
      </c>
    </row>
    <row r="11" spans="1:9" x14ac:dyDescent="0.3">
      <c r="A11" s="29"/>
      <c r="B11" s="29"/>
      <c r="C11" s="29"/>
      <c r="D11" s="29"/>
      <c r="E11" s="29"/>
      <c r="F11" s="30"/>
      <c r="G11" s="31"/>
      <c r="H11" s="50"/>
      <c r="I11" s="178"/>
    </row>
    <row r="12" spans="1:9" x14ac:dyDescent="0.3">
      <c r="A12" s="29"/>
      <c r="B12" s="29"/>
      <c r="C12" s="29"/>
      <c r="D12" s="29"/>
      <c r="E12" s="29"/>
      <c r="F12" s="30"/>
      <c r="G12" s="31"/>
      <c r="H12" s="50"/>
      <c r="I12" s="178"/>
    </row>
    <row r="13" spans="1:9" x14ac:dyDescent="0.3">
      <c r="A13" s="29"/>
      <c r="B13" s="29"/>
      <c r="C13" s="29"/>
      <c r="D13" s="29"/>
      <c r="E13" s="29"/>
      <c r="F13" s="30"/>
      <c r="G13" s="31"/>
      <c r="H13" s="50"/>
      <c r="I13" s="178"/>
    </row>
    <row r="14" spans="1:9" x14ac:dyDescent="0.3">
      <c r="A14" s="29"/>
      <c r="B14" s="29"/>
      <c r="C14" s="29"/>
      <c r="D14" s="29"/>
      <c r="E14" s="29"/>
      <c r="F14" s="30"/>
      <c r="G14" s="31"/>
      <c r="H14" s="50"/>
      <c r="I14" s="178"/>
    </row>
    <row r="15" spans="1:9" x14ac:dyDescent="0.3">
      <c r="A15" s="29"/>
      <c r="B15" s="29"/>
      <c r="C15" s="29"/>
      <c r="D15" s="29"/>
      <c r="E15" s="29"/>
      <c r="F15" s="30"/>
      <c r="G15" s="31"/>
      <c r="H15" s="50"/>
      <c r="I15" s="178"/>
    </row>
    <row r="16" spans="1:9" x14ac:dyDescent="0.3">
      <c r="A16" s="29"/>
      <c r="B16" s="29"/>
      <c r="C16" s="29"/>
      <c r="D16" s="29"/>
      <c r="E16" s="29"/>
      <c r="F16" s="30"/>
      <c r="G16" s="31"/>
      <c r="H16" s="50"/>
      <c r="I16" s="178"/>
    </row>
    <row r="17" spans="1:9" x14ac:dyDescent="0.3">
      <c r="A17" s="29"/>
      <c r="B17" s="29"/>
      <c r="C17" s="29"/>
      <c r="D17" s="29"/>
      <c r="E17" s="29"/>
      <c r="F17" s="30"/>
      <c r="G17" s="31"/>
      <c r="H17" s="50"/>
      <c r="I17" s="178"/>
    </row>
    <row r="18" spans="1:9" x14ac:dyDescent="0.3">
      <c r="A18" s="26"/>
      <c r="B18" s="26"/>
      <c r="C18" s="26"/>
      <c r="D18" s="26"/>
      <c r="E18" s="26"/>
      <c r="F18" s="27"/>
      <c r="G18" s="28"/>
      <c r="H18" s="49"/>
      <c r="I18" s="177"/>
    </row>
    <row r="19" spans="1:9" x14ac:dyDescent="0.3">
      <c r="A19" s="26"/>
      <c r="B19" s="26"/>
      <c r="C19" s="26"/>
      <c r="D19" s="26"/>
      <c r="E19" s="26"/>
      <c r="F19" s="27"/>
      <c r="G19" s="28"/>
      <c r="H19" s="49"/>
      <c r="I19" s="177"/>
    </row>
    <row r="20" spans="1:9" x14ac:dyDescent="0.3">
      <c r="A20" s="26"/>
      <c r="B20" s="26"/>
      <c r="C20" s="26"/>
      <c r="D20" s="26"/>
      <c r="E20" s="26"/>
      <c r="F20" s="27"/>
      <c r="G20" s="28"/>
      <c r="H20" s="49"/>
      <c r="I20" s="177"/>
    </row>
    <row r="21" spans="1:9" x14ac:dyDescent="0.3">
      <c r="A21" s="26"/>
      <c r="B21" s="26"/>
      <c r="C21" s="26"/>
      <c r="D21" s="26"/>
      <c r="E21" s="26"/>
      <c r="F21" s="27"/>
      <c r="G21" s="28"/>
      <c r="H21" s="49"/>
      <c r="I21" s="177"/>
    </row>
    <row r="22" spans="1:9" x14ac:dyDescent="0.3">
      <c r="A22" s="26"/>
      <c r="B22" s="26"/>
      <c r="C22" s="26"/>
      <c r="D22" s="26"/>
      <c r="E22" s="26"/>
      <c r="F22" s="27"/>
      <c r="G22" s="28"/>
      <c r="H22" s="49"/>
      <c r="I22" s="177"/>
    </row>
    <row r="23" spans="1:9" x14ac:dyDescent="0.3">
      <c r="A23" s="26"/>
      <c r="B23" s="26"/>
      <c r="C23" s="26"/>
      <c r="D23" s="26"/>
      <c r="E23" s="26"/>
      <c r="F23" s="27"/>
      <c r="G23" s="28"/>
      <c r="H23" s="49"/>
      <c r="I23" s="177"/>
    </row>
    <row r="24" spans="1:9" x14ac:dyDescent="0.3">
      <c r="A24" s="26"/>
      <c r="B24" s="26"/>
      <c r="C24" s="26"/>
      <c r="D24" s="26"/>
      <c r="E24" s="26"/>
      <c r="F24" s="27"/>
      <c r="G24" s="28"/>
      <c r="H24" s="49"/>
      <c r="I24" s="177"/>
    </row>
    <row r="25" spans="1:9" x14ac:dyDescent="0.3">
      <c r="H25" s="51"/>
      <c r="I25" s="179"/>
    </row>
    <row r="26" spans="1:9" x14ac:dyDescent="0.3">
      <c r="H26" s="51"/>
      <c r="I26" s="179"/>
    </row>
    <row r="27" spans="1:9" x14ac:dyDescent="0.3">
      <c r="H27" s="51"/>
      <c r="I27" s="179"/>
    </row>
    <row r="28" spans="1:9" x14ac:dyDescent="0.3">
      <c r="H28" s="51"/>
      <c r="I28" s="179"/>
    </row>
    <row r="29" spans="1:9" x14ac:dyDescent="0.3">
      <c r="H29" s="51"/>
      <c r="I29" s="179"/>
    </row>
    <row r="30" spans="1:9" x14ac:dyDescent="0.3">
      <c r="H30" s="51"/>
      <c r="I30" s="179"/>
    </row>
    <row r="31" spans="1:9" x14ac:dyDescent="0.3">
      <c r="H31" s="51"/>
      <c r="I31" s="179"/>
    </row>
    <row r="32" spans="1:9" x14ac:dyDescent="0.3">
      <c r="H32" s="51"/>
      <c r="I32" s="179"/>
    </row>
    <row r="33" spans="8:9" x14ac:dyDescent="0.3">
      <c r="H33" s="51"/>
      <c r="I33" s="179"/>
    </row>
    <row r="34" spans="8:9" x14ac:dyDescent="0.3">
      <c r="H34" s="51"/>
      <c r="I34" s="179"/>
    </row>
    <row r="35" spans="8:9" x14ac:dyDescent="0.3">
      <c r="H35" s="51"/>
      <c r="I35" s="179"/>
    </row>
    <row r="36" spans="8:9" x14ac:dyDescent="0.3">
      <c r="H36" s="51"/>
      <c r="I36" s="179"/>
    </row>
    <row r="37" spans="8:9" x14ac:dyDescent="0.3">
      <c r="H37" s="51"/>
      <c r="I37" s="179"/>
    </row>
    <row r="38" spans="8:9" x14ac:dyDescent="0.3">
      <c r="H38" s="51"/>
      <c r="I38" s="179"/>
    </row>
    <row r="39" spans="8:9" x14ac:dyDescent="0.3">
      <c r="H39" s="51"/>
      <c r="I39" s="179"/>
    </row>
    <row r="40" spans="8:9" x14ac:dyDescent="0.3">
      <c r="H40" s="51"/>
      <c r="I40" s="179"/>
    </row>
    <row r="41" spans="8:9" x14ac:dyDescent="0.3">
      <c r="H41" s="51"/>
      <c r="I41" s="179"/>
    </row>
    <row r="42" spans="8:9" x14ac:dyDescent="0.3">
      <c r="H42" s="51"/>
      <c r="I42" s="179"/>
    </row>
    <row r="43" spans="8:9" x14ac:dyDescent="0.3">
      <c r="H43" s="51"/>
      <c r="I43" s="179"/>
    </row>
    <row r="44" spans="8:9" x14ac:dyDescent="0.3">
      <c r="H44" s="51"/>
      <c r="I44" s="179"/>
    </row>
    <row r="45" spans="8:9" x14ac:dyDescent="0.3">
      <c r="H45" s="51"/>
      <c r="I45" s="179"/>
    </row>
    <row r="46" spans="8:9" x14ac:dyDescent="0.3">
      <c r="H46" s="51"/>
      <c r="I46" s="179"/>
    </row>
    <row r="47" spans="8:9" x14ac:dyDescent="0.3">
      <c r="H47" s="51"/>
      <c r="I47" s="179"/>
    </row>
    <row r="48" spans="8:9" x14ac:dyDescent="0.3">
      <c r="H48" s="51"/>
      <c r="I48" s="179"/>
    </row>
    <row r="49" spans="8:9" x14ac:dyDescent="0.3">
      <c r="H49" s="51"/>
      <c r="I49" s="179"/>
    </row>
    <row r="50" spans="8:9" x14ac:dyDescent="0.3">
      <c r="H50" s="51"/>
      <c r="I50" s="179"/>
    </row>
    <row r="51" spans="8:9" x14ac:dyDescent="0.3">
      <c r="H51" s="51"/>
      <c r="I51" s="179"/>
    </row>
    <row r="52" spans="8:9" x14ac:dyDescent="0.3">
      <c r="H52" s="51"/>
      <c r="I52" s="179"/>
    </row>
    <row r="53" spans="8:9" x14ac:dyDescent="0.3">
      <c r="H53" s="51"/>
      <c r="I53" s="179"/>
    </row>
    <row r="54" spans="8:9" x14ac:dyDescent="0.3">
      <c r="H54" s="51"/>
      <c r="I54" s="179"/>
    </row>
    <row r="55" spans="8:9" x14ac:dyDescent="0.3">
      <c r="H55" s="51"/>
      <c r="I55" s="179"/>
    </row>
    <row r="56" spans="8:9" x14ac:dyDescent="0.3">
      <c r="H56" s="51"/>
      <c r="I56" s="179"/>
    </row>
    <row r="57" spans="8:9" x14ac:dyDescent="0.3">
      <c r="H57" s="51"/>
      <c r="I57" s="179"/>
    </row>
    <row r="58" spans="8:9" x14ac:dyDescent="0.3">
      <c r="H58" s="51"/>
      <c r="I58" s="179"/>
    </row>
    <row r="59" spans="8:9" x14ac:dyDescent="0.3">
      <c r="H59" s="51"/>
      <c r="I59" s="179"/>
    </row>
    <row r="60" spans="8:9" x14ac:dyDescent="0.3">
      <c r="H60" s="51"/>
      <c r="I60" s="179"/>
    </row>
    <row r="61" spans="8:9" x14ac:dyDescent="0.3">
      <c r="H61" s="51"/>
      <c r="I61" s="179"/>
    </row>
    <row r="62" spans="8:9" x14ac:dyDescent="0.3">
      <c r="H62" s="51"/>
      <c r="I62" s="179"/>
    </row>
    <row r="63" spans="8:9" x14ac:dyDescent="0.3">
      <c r="H63" s="51"/>
      <c r="I63" s="179"/>
    </row>
    <row r="64" spans="8:9" x14ac:dyDescent="0.3">
      <c r="H64" s="51"/>
      <c r="I64" s="179"/>
    </row>
    <row r="65" spans="8:9" x14ac:dyDescent="0.3">
      <c r="H65" s="51"/>
      <c r="I65" s="179"/>
    </row>
    <row r="66" spans="8:9" x14ac:dyDescent="0.3">
      <c r="H66" s="51"/>
      <c r="I66" s="179"/>
    </row>
    <row r="67" spans="8:9" x14ac:dyDescent="0.3">
      <c r="H67" s="51"/>
      <c r="I67" s="179"/>
    </row>
    <row r="68" spans="8:9" x14ac:dyDescent="0.3">
      <c r="H68" s="51"/>
      <c r="I68" s="179"/>
    </row>
    <row r="69" spans="8:9" x14ac:dyDescent="0.3">
      <c r="H69" s="51"/>
      <c r="I69" s="179"/>
    </row>
    <row r="70" spans="8:9" x14ac:dyDescent="0.3">
      <c r="H70" s="51"/>
      <c r="I70" s="179"/>
    </row>
    <row r="71" spans="8:9" x14ac:dyDescent="0.3">
      <c r="H71" s="51"/>
      <c r="I71" s="179"/>
    </row>
    <row r="72" spans="8:9" x14ac:dyDescent="0.3">
      <c r="H72" s="51"/>
      <c r="I72" s="179"/>
    </row>
    <row r="73" spans="8:9" x14ac:dyDescent="0.3">
      <c r="H73" s="51"/>
      <c r="I73" s="179"/>
    </row>
    <row r="74" spans="8:9" x14ac:dyDescent="0.3">
      <c r="H74" s="51"/>
      <c r="I74" s="179"/>
    </row>
    <row r="75" spans="8:9" x14ac:dyDescent="0.3">
      <c r="H75" s="51"/>
      <c r="I75" s="179"/>
    </row>
    <row r="76" spans="8:9" x14ac:dyDescent="0.3">
      <c r="H76" s="51"/>
      <c r="I76" s="179"/>
    </row>
    <row r="77" spans="8:9" x14ac:dyDescent="0.3">
      <c r="H77" s="51"/>
      <c r="I77" s="179"/>
    </row>
    <row r="78" spans="8:9" x14ac:dyDescent="0.3">
      <c r="H78" s="51"/>
      <c r="I78" s="179"/>
    </row>
    <row r="79" spans="8:9" x14ac:dyDescent="0.3">
      <c r="H79" s="51"/>
      <c r="I79" s="179"/>
    </row>
    <row r="80" spans="8:9" x14ac:dyDescent="0.3">
      <c r="H80" s="51"/>
      <c r="I80" s="179"/>
    </row>
    <row r="81" spans="8:9" x14ac:dyDescent="0.3">
      <c r="H81" s="51"/>
      <c r="I81" s="179"/>
    </row>
    <row r="82" spans="8:9" x14ac:dyDescent="0.3">
      <c r="H82" s="51"/>
      <c r="I82" s="179"/>
    </row>
    <row r="83" spans="8:9" x14ac:dyDescent="0.3">
      <c r="H83" s="51"/>
      <c r="I83" s="179"/>
    </row>
    <row r="84" spans="8:9" x14ac:dyDescent="0.3">
      <c r="H84" s="51"/>
      <c r="I84" s="179"/>
    </row>
    <row r="85" spans="8:9" x14ac:dyDescent="0.3">
      <c r="H85" s="51"/>
      <c r="I85" s="179"/>
    </row>
    <row r="86" spans="8:9" x14ac:dyDescent="0.3">
      <c r="H86" s="51"/>
      <c r="I86" s="179"/>
    </row>
    <row r="87" spans="8:9" x14ac:dyDescent="0.3">
      <c r="H87" s="51"/>
      <c r="I87" s="179"/>
    </row>
    <row r="88" spans="8:9" x14ac:dyDescent="0.3">
      <c r="H88" s="51"/>
      <c r="I88" s="179"/>
    </row>
    <row r="89" spans="8:9" x14ac:dyDescent="0.3">
      <c r="H89" s="51"/>
      <c r="I89" s="179"/>
    </row>
    <row r="90" spans="8:9" x14ac:dyDescent="0.3">
      <c r="H90" s="51"/>
      <c r="I90" s="179"/>
    </row>
    <row r="91" spans="8:9" x14ac:dyDescent="0.3">
      <c r="H91" s="51"/>
      <c r="I91" s="179"/>
    </row>
    <row r="92" spans="8:9" x14ac:dyDescent="0.3">
      <c r="H92" s="51"/>
      <c r="I92" s="179"/>
    </row>
    <row r="93" spans="8:9" x14ac:dyDescent="0.3">
      <c r="H93" s="51"/>
      <c r="I93" s="179"/>
    </row>
    <row r="94" spans="8:9" x14ac:dyDescent="0.3">
      <c r="H94" s="51"/>
      <c r="I94" s="179"/>
    </row>
    <row r="95" spans="8:9" x14ac:dyDescent="0.3">
      <c r="H95" s="51"/>
      <c r="I95" s="179"/>
    </row>
    <row r="96" spans="8:9" x14ac:dyDescent="0.3">
      <c r="H96" s="51"/>
      <c r="I96" s="179"/>
    </row>
    <row r="97" spans="8:9" x14ac:dyDescent="0.3">
      <c r="H97" s="51"/>
      <c r="I97" s="179"/>
    </row>
    <row r="98" spans="8:9" x14ac:dyDescent="0.3">
      <c r="H98" s="51"/>
      <c r="I98" s="179"/>
    </row>
    <row r="99" spans="8:9" x14ac:dyDescent="0.3">
      <c r="H99" s="51"/>
      <c r="I99" s="179"/>
    </row>
    <row r="100" spans="8:9" x14ac:dyDescent="0.3">
      <c r="H100" s="51"/>
      <c r="I100" s="179"/>
    </row>
    <row r="101" spans="8:9" x14ac:dyDescent="0.3">
      <c r="H101" s="51"/>
      <c r="I101" s="179"/>
    </row>
    <row r="102" spans="8:9" x14ac:dyDescent="0.3">
      <c r="H102" s="51"/>
      <c r="I102" s="179"/>
    </row>
    <row r="103" spans="8:9" x14ac:dyDescent="0.3">
      <c r="H103" s="51"/>
      <c r="I103" s="179"/>
    </row>
    <row r="104" spans="8:9" x14ac:dyDescent="0.3">
      <c r="H104" s="51"/>
      <c r="I104" s="179"/>
    </row>
    <row r="105" spans="8:9" x14ac:dyDescent="0.3">
      <c r="H105" s="51"/>
      <c r="I105" s="179"/>
    </row>
    <row r="106" spans="8:9" x14ac:dyDescent="0.3">
      <c r="H106" s="51"/>
      <c r="I106" s="179"/>
    </row>
    <row r="107" spans="8:9" x14ac:dyDescent="0.3">
      <c r="H107" s="51"/>
      <c r="I107" s="179"/>
    </row>
    <row r="108" spans="8:9" x14ac:dyDescent="0.3">
      <c r="H108" s="51"/>
      <c r="I108" s="179"/>
    </row>
    <row r="109" spans="8:9" x14ac:dyDescent="0.3">
      <c r="H109" s="51"/>
      <c r="I109" s="179"/>
    </row>
    <row r="110" spans="8:9" x14ac:dyDescent="0.3">
      <c r="H110" s="51"/>
      <c r="I110" s="179"/>
    </row>
    <row r="111" spans="8:9" x14ac:dyDescent="0.3">
      <c r="H111" s="51"/>
      <c r="I111" s="179"/>
    </row>
    <row r="112" spans="8:9" x14ac:dyDescent="0.3">
      <c r="H112" s="51"/>
      <c r="I112" s="179"/>
    </row>
    <row r="113" spans="8:9" x14ac:dyDescent="0.3">
      <c r="H113" s="51"/>
      <c r="I113" s="179"/>
    </row>
    <row r="114" spans="8:9" x14ac:dyDescent="0.3">
      <c r="H114" s="51"/>
      <c r="I114" s="179"/>
    </row>
    <row r="115" spans="8:9" x14ac:dyDescent="0.3">
      <c r="H115" s="51"/>
      <c r="I115" s="179"/>
    </row>
    <row r="116" spans="8:9" x14ac:dyDescent="0.3">
      <c r="H116" s="51"/>
      <c r="I116" s="179"/>
    </row>
    <row r="117" spans="8:9" x14ac:dyDescent="0.3">
      <c r="H117" s="51"/>
      <c r="I117" s="179"/>
    </row>
    <row r="118" spans="8:9" x14ac:dyDescent="0.3">
      <c r="H118" s="51"/>
      <c r="I118" s="179"/>
    </row>
    <row r="119" spans="8:9" x14ac:dyDescent="0.3">
      <c r="H119" s="51"/>
      <c r="I119" s="179"/>
    </row>
    <row r="120" spans="8:9" x14ac:dyDescent="0.3">
      <c r="H120" s="51"/>
      <c r="I120" s="179"/>
    </row>
    <row r="121" spans="8:9" x14ac:dyDescent="0.3">
      <c r="I121" s="179"/>
    </row>
    <row r="122" spans="8:9" x14ac:dyDescent="0.3">
      <c r="I122" s="179"/>
    </row>
    <row r="123" spans="8:9" x14ac:dyDescent="0.3">
      <c r="I123" s="179"/>
    </row>
    <row r="124" spans="8:9" x14ac:dyDescent="0.3">
      <c r="I124" s="179"/>
    </row>
    <row r="125" spans="8:9" x14ac:dyDescent="0.3">
      <c r="I125" s="179"/>
    </row>
    <row r="126" spans="8:9" x14ac:dyDescent="0.3">
      <c r="I126" s="179"/>
    </row>
    <row r="127" spans="8:9" x14ac:dyDescent="0.3">
      <c r="I127" s="179"/>
    </row>
    <row r="128" spans="8:9" x14ac:dyDescent="0.3">
      <c r="I128" s="179"/>
    </row>
    <row r="129" spans="9:9" x14ac:dyDescent="0.3">
      <c r="I129" s="179"/>
    </row>
    <row r="130" spans="9:9" x14ac:dyDescent="0.3">
      <c r="I130" s="179"/>
    </row>
    <row r="131" spans="9:9" x14ac:dyDescent="0.3">
      <c r="I131" s="179"/>
    </row>
    <row r="132" spans="9:9" x14ac:dyDescent="0.3">
      <c r="I132" s="179"/>
    </row>
    <row r="133" spans="9:9" x14ac:dyDescent="0.3">
      <c r="I133" s="179"/>
    </row>
    <row r="134" spans="9:9" x14ac:dyDescent="0.3">
      <c r="I134" s="179"/>
    </row>
    <row r="135" spans="9:9" x14ac:dyDescent="0.3">
      <c r="I135" s="179"/>
    </row>
    <row r="136" spans="9:9" x14ac:dyDescent="0.3">
      <c r="I136" s="179"/>
    </row>
    <row r="137" spans="9:9" x14ac:dyDescent="0.3">
      <c r="I137" s="179"/>
    </row>
    <row r="138" spans="9:9" x14ac:dyDescent="0.3">
      <c r="I138" s="179"/>
    </row>
    <row r="139" spans="9:9" x14ac:dyDescent="0.3">
      <c r="I139" s="179"/>
    </row>
    <row r="140" spans="9:9" x14ac:dyDescent="0.3">
      <c r="I140" s="179"/>
    </row>
    <row r="141" spans="9:9" x14ac:dyDescent="0.3">
      <c r="I141" s="179"/>
    </row>
    <row r="142" spans="9:9" x14ac:dyDescent="0.3">
      <c r="I142" s="179"/>
    </row>
    <row r="143" spans="9:9" x14ac:dyDescent="0.3">
      <c r="I143" s="179"/>
    </row>
    <row r="144" spans="9:9" x14ac:dyDescent="0.3">
      <c r="I144" s="179"/>
    </row>
    <row r="145" spans="9:9" x14ac:dyDescent="0.3">
      <c r="I145" s="179"/>
    </row>
    <row r="146" spans="9:9" x14ac:dyDescent="0.3">
      <c r="I146" s="179"/>
    </row>
    <row r="147" spans="9:9" x14ac:dyDescent="0.3">
      <c r="I147" s="179"/>
    </row>
    <row r="148" spans="9:9" x14ac:dyDescent="0.3">
      <c r="I148" s="179"/>
    </row>
    <row r="149" spans="9:9" x14ac:dyDescent="0.3">
      <c r="I149" s="179"/>
    </row>
    <row r="150" spans="9:9" x14ac:dyDescent="0.3">
      <c r="I150" s="179"/>
    </row>
    <row r="151" spans="9:9" x14ac:dyDescent="0.3">
      <c r="I151" s="179"/>
    </row>
    <row r="152" spans="9:9" x14ac:dyDescent="0.3">
      <c r="I152" s="179"/>
    </row>
    <row r="153" spans="9:9" x14ac:dyDescent="0.3">
      <c r="I153" s="179"/>
    </row>
    <row r="154" spans="9:9" x14ac:dyDescent="0.3">
      <c r="I154" s="179"/>
    </row>
    <row r="155" spans="9:9" x14ac:dyDescent="0.3">
      <c r="I155" s="179"/>
    </row>
    <row r="156" spans="9:9" x14ac:dyDescent="0.3">
      <c r="I156" s="179"/>
    </row>
    <row r="157" spans="9:9" x14ac:dyDescent="0.3">
      <c r="I157" s="179"/>
    </row>
    <row r="158" spans="9:9" x14ac:dyDescent="0.3">
      <c r="I158" s="179"/>
    </row>
    <row r="159" spans="9:9" x14ac:dyDescent="0.3">
      <c r="I159" s="179"/>
    </row>
    <row r="160" spans="9:9" x14ac:dyDescent="0.3">
      <c r="I160" s="179"/>
    </row>
    <row r="161" spans="9:9" x14ac:dyDescent="0.3">
      <c r="I161" s="179"/>
    </row>
    <row r="162" spans="9:9" x14ac:dyDescent="0.3">
      <c r="I162" s="179"/>
    </row>
    <row r="163" spans="9:9" x14ac:dyDescent="0.3">
      <c r="I163" s="179"/>
    </row>
    <row r="164" spans="9:9" x14ac:dyDescent="0.3">
      <c r="I164" s="179"/>
    </row>
    <row r="165" spans="9:9" x14ac:dyDescent="0.3">
      <c r="I165" s="179"/>
    </row>
    <row r="166" spans="9:9" x14ac:dyDescent="0.3">
      <c r="I166" s="179"/>
    </row>
    <row r="167" spans="9:9" x14ac:dyDescent="0.3">
      <c r="I167" s="179"/>
    </row>
    <row r="168" spans="9:9" x14ac:dyDescent="0.3">
      <c r="I168" s="179"/>
    </row>
    <row r="169" spans="9:9" x14ac:dyDescent="0.3">
      <c r="I169" s="179"/>
    </row>
    <row r="170" spans="9:9" x14ac:dyDescent="0.3">
      <c r="I170" s="179"/>
    </row>
    <row r="171" spans="9:9" x14ac:dyDescent="0.3">
      <c r="I171" s="179"/>
    </row>
    <row r="172" spans="9:9" x14ac:dyDescent="0.3">
      <c r="I172" s="179"/>
    </row>
    <row r="173" spans="9:9" x14ac:dyDescent="0.3">
      <c r="I173" s="179"/>
    </row>
    <row r="174" spans="9:9" x14ac:dyDescent="0.3">
      <c r="I174" s="179"/>
    </row>
    <row r="175" spans="9:9" x14ac:dyDescent="0.3">
      <c r="I175" s="179"/>
    </row>
    <row r="176" spans="9:9" x14ac:dyDescent="0.3">
      <c r="I176" s="179"/>
    </row>
    <row r="177" spans="9:9" x14ac:dyDescent="0.3">
      <c r="I177" s="179"/>
    </row>
    <row r="178" spans="9:9" x14ac:dyDescent="0.3">
      <c r="I178" s="179"/>
    </row>
    <row r="179" spans="9:9" x14ac:dyDescent="0.3">
      <c r="I179" s="179"/>
    </row>
    <row r="180" spans="9:9" x14ac:dyDescent="0.3">
      <c r="I180" s="179"/>
    </row>
    <row r="181" spans="9:9" x14ac:dyDescent="0.3">
      <c r="I181" s="179"/>
    </row>
    <row r="182" spans="9:9" x14ac:dyDescent="0.3">
      <c r="I182" s="179"/>
    </row>
    <row r="183" spans="9:9" x14ac:dyDescent="0.3">
      <c r="I183" s="179"/>
    </row>
    <row r="184" spans="9:9" x14ac:dyDescent="0.3">
      <c r="I184" s="179"/>
    </row>
    <row r="185" spans="9:9" x14ac:dyDescent="0.3">
      <c r="I185" s="179"/>
    </row>
    <row r="186" spans="9:9" x14ac:dyDescent="0.3">
      <c r="I186" s="179"/>
    </row>
    <row r="187" spans="9:9" x14ac:dyDescent="0.3">
      <c r="I187" s="179"/>
    </row>
    <row r="188" spans="9:9" x14ac:dyDescent="0.3">
      <c r="I188" s="179"/>
    </row>
    <row r="189" spans="9:9" x14ac:dyDescent="0.3">
      <c r="I189" s="179"/>
    </row>
    <row r="190" spans="9:9" x14ac:dyDescent="0.3">
      <c r="I190" s="179"/>
    </row>
    <row r="191" spans="9:9" x14ac:dyDescent="0.3">
      <c r="I191" s="179"/>
    </row>
    <row r="192" spans="9:9" x14ac:dyDescent="0.3">
      <c r="I192" s="179"/>
    </row>
    <row r="193" spans="9:9" x14ac:dyDescent="0.3">
      <c r="I193" s="179"/>
    </row>
    <row r="194" spans="9:9" x14ac:dyDescent="0.3">
      <c r="I194" s="179"/>
    </row>
    <row r="195" spans="9:9" x14ac:dyDescent="0.3">
      <c r="I195" s="179"/>
    </row>
    <row r="196" spans="9:9" x14ac:dyDescent="0.3">
      <c r="I196" s="179"/>
    </row>
    <row r="197" spans="9:9" x14ac:dyDescent="0.3">
      <c r="I197" s="179"/>
    </row>
    <row r="198" spans="9:9" x14ac:dyDescent="0.3">
      <c r="I198" s="179"/>
    </row>
    <row r="199" spans="9:9" x14ac:dyDescent="0.3">
      <c r="I199" s="179"/>
    </row>
    <row r="200" spans="9:9" x14ac:dyDescent="0.3">
      <c r="I200" s="179"/>
    </row>
    <row r="201" spans="9:9" x14ac:dyDescent="0.3">
      <c r="I201" s="179"/>
    </row>
    <row r="202" spans="9:9" x14ac:dyDescent="0.3">
      <c r="I202" s="179"/>
    </row>
    <row r="203" spans="9:9" x14ac:dyDescent="0.3">
      <c r="I203" s="179"/>
    </row>
    <row r="204" spans="9:9" x14ac:dyDescent="0.3">
      <c r="I204" s="179"/>
    </row>
    <row r="205" spans="9:9" x14ac:dyDescent="0.3">
      <c r="I205" s="179"/>
    </row>
    <row r="206" spans="9:9" x14ac:dyDescent="0.3">
      <c r="I206" s="179"/>
    </row>
    <row r="207" spans="9:9" x14ac:dyDescent="0.3">
      <c r="I207" s="179"/>
    </row>
    <row r="208" spans="9:9" x14ac:dyDescent="0.3">
      <c r="I208" s="179"/>
    </row>
    <row r="209" spans="9:9" x14ac:dyDescent="0.3">
      <c r="I209" s="179"/>
    </row>
    <row r="210" spans="9:9" x14ac:dyDescent="0.3">
      <c r="I210" s="179"/>
    </row>
    <row r="211" spans="9:9" x14ac:dyDescent="0.3">
      <c r="I211" s="179"/>
    </row>
    <row r="212" spans="9:9" x14ac:dyDescent="0.3">
      <c r="I212" s="179"/>
    </row>
    <row r="213" spans="9:9" x14ac:dyDescent="0.3">
      <c r="I213" s="179"/>
    </row>
    <row r="214" spans="9:9" x14ac:dyDescent="0.3">
      <c r="I214" s="179"/>
    </row>
    <row r="215" spans="9:9" x14ac:dyDescent="0.3">
      <c r="I215" s="179"/>
    </row>
    <row r="216" spans="9:9" x14ac:dyDescent="0.3">
      <c r="I216" s="179"/>
    </row>
    <row r="217" spans="9:9" x14ac:dyDescent="0.3">
      <c r="I217" s="179"/>
    </row>
    <row r="218" spans="9:9" x14ac:dyDescent="0.3">
      <c r="I218" s="179"/>
    </row>
    <row r="219" spans="9:9" x14ac:dyDescent="0.3">
      <c r="I219" s="179"/>
    </row>
    <row r="220" spans="9:9" x14ac:dyDescent="0.3">
      <c r="I220" s="179"/>
    </row>
    <row r="221" spans="9:9" x14ac:dyDescent="0.3">
      <c r="I221" s="179"/>
    </row>
    <row r="222" spans="9:9" x14ac:dyDescent="0.3">
      <c r="I222" s="179"/>
    </row>
    <row r="223" spans="9:9" x14ac:dyDescent="0.3">
      <c r="I223" s="179"/>
    </row>
    <row r="224" spans="9:9" x14ac:dyDescent="0.3">
      <c r="I224" s="179"/>
    </row>
    <row r="225" spans="9:9" x14ac:dyDescent="0.3">
      <c r="I225" s="179"/>
    </row>
    <row r="226" spans="9:9" x14ac:dyDescent="0.3">
      <c r="I226" s="179"/>
    </row>
    <row r="227" spans="9:9" x14ac:dyDescent="0.3">
      <c r="I227" s="179"/>
    </row>
    <row r="228" spans="9:9" x14ac:dyDescent="0.3">
      <c r="I228" s="179"/>
    </row>
    <row r="229" spans="9:9" x14ac:dyDescent="0.3">
      <c r="I229" s="179"/>
    </row>
    <row r="230" spans="9:9" x14ac:dyDescent="0.3">
      <c r="I230" s="179"/>
    </row>
    <row r="231" spans="9:9" x14ac:dyDescent="0.3">
      <c r="I231" s="179"/>
    </row>
    <row r="232" spans="9:9" x14ac:dyDescent="0.3">
      <c r="I232" s="179"/>
    </row>
    <row r="233" spans="9:9" x14ac:dyDescent="0.3">
      <c r="I233" s="179"/>
    </row>
    <row r="234" spans="9:9" x14ac:dyDescent="0.3">
      <c r="I234" s="179"/>
    </row>
    <row r="235" spans="9:9" x14ac:dyDescent="0.3">
      <c r="I235" s="179"/>
    </row>
    <row r="236" spans="9:9" x14ac:dyDescent="0.3">
      <c r="I236" s="179"/>
    </row>
    <row r="237" spans="9:9" x14ac:dyDescent="0.3">
      <c r="I237" s="179"/>
    </row>
    <row r="238" spans="9:9" x14ac:dyDescent="0.3">
      <c r="I238" s="179"/>
    </row>
    <row r="239" spans="9:9" x14ac:dyDescent="0.3">
      <c r="I239" s="179"/>
    </row>
    <row r="240" spans="9:9" x14ac:dyDescent="0.3">
      <c r="I240" s="179"/>
    </row>
    <row r="241" spans="9:9" x14ac:dyDescent="0.3">
      <c r="I241" s="179"/>
    </row>
    <row r="242" spans="9:9" x14ac:dyDescent="0.3">
      <c r="I242" s="179"/>
    </row>
    <row r="243" spans="9:9" x14ac:dyDescent="0.3">
      <c r="I243" s="179"/>
    </row>
    <row r="244" spans="9:9" x14ac:dyDescent="0.3">
      <c r="I244" s="179"/>
    </row>
    <row r="245" spans="9:9" x14ac:dyDescent="0.3">
      <c r="I245" s="179"/>
    </row>
    <row r="246" spans="9:9" x14ac:dyDescent="0.3">
      <c r="I246" s="179"/>
    </row>
    <row r="247" spans="9:9" x14ac:dyDescent="0.3">
      <c r="I247" s="179"/>
    </row>
    <row r="248" spans="9:9" x14ac:dyDescent="0.3">
      <c r="I248" s="179"/>
    </row>
    <row r="249" spans="9:9" x14ac:dyDescent="0.3">
      <c r="I249" s="179"/>
    </row>
    <row r="250" spans="9:9" x14ac:dyDescent="0.3">
      <c r="I250" s="179"/>
    </row>
    <row r="251" spans="9:9" x14ac:dyDescent="0.3">
      <c r="I251" s="179"/>
    </row>
    <row r="252" spans="9:9" x14ac:dyDescent="0.3">
      <c r="I252" s="179"/>
    </row>
    <row r="253" spans="9:9" x14ac:dyDescent="0.3">
      <c r="I253" s="179"/>
    </row>
    <row r="254" spans="9:9" x14ac:dyDescent="0.3">
      <c r="I254" s="179"/>
    </row>
    <row r="255" spans="9:9" x14ac:dyDescent="0.3">
      <c r="I255" s="179"/>
    </row>
    <row r="256" spans="9:9" x14ac:dyDescent="0.3">
      <c r="I256" s="179"/>
    </row>
    <row r="257" spans="9:9" x14ac:dyDescent="0.3">
      <c r="I257" s="179"/>
    </row>
    <row r="258" spans="9:9" x14ac:dyDescent="0.3">
      <c r="I258" s="179"/>
    </row>
    <row r="259" spans="9:9" x14ac:dyDescent="0.3">
      <c r="I259" s="179"/>
    </row>
    <row r="260" spans="9:9" x14ac:dyDescent="0.3">
      <c r="I260" s="179"/>
    </row>
    <row r="261" spans="9:9" x14ac:dyDescent="0.3">
      <c r="I261" s="179"/>
    </row>
    <row r="262" spans="9:9" x14ac:dyDescent="0.3">
      <c r="I262" s="179"/>
    </row>
    <row r="263" spans="9:9" x14ac:dyDescent="0.3">
      <c r="I263" s="179"/>
    </row>
    <row r="264" spans="9:9" x14ac:dyDescent="0.3">
      <c r="I264" s="179"/>
    </row>
    <row r="265" spans="9:9" x14ac:dyDescent="0.3">
      <c r="I265" s="179"/>
    </row>
    <row r="266" spans="9:9" x14ac:dyDescent="0.3">
      <c r="I266" s="179"/>
    </row>
    <row r="267" spans="9:9" x14ac:dyDescent="0.3">
      <c r="I267" s="179"/>
    </row>
    <row r="268" spans="9:9" x14ac:dyDescent="0.3">
      <c r="I268" s="179"/>
    </row>
    <row r="269" spans="9:9" x14ac:dyDescent="0.3">
      <c r="I269" s="179"/>
    </row>
    <row r="270" spans="9:9" x14ac:dyDescent="0.3">
      <c r="I270" s="179"/>
    </row>
    <row r="271" spans="9:9" x14ac:dyDescent="0.3">
      <c r="I271" s="179"/>
    </row>
    <row r="272" spans="9:9" x14ac:dyDescent="0.3">
      <c r="I272" s="179"/>
    </row>
    <row r="273" spans="9:9" x14ac:dyDescent="0.3">
      <c r="I273" s="179"/>
    </row>
    <row r="274" spans="9:9" x14ac:dyDescent="0.3">
      <c r="I274" s="179"/>
    </row>
    <row r="275" spans="9:9" x14ac:dyDescent="0.3">
      <c r="I275" s="179"/>
    </row>
    <row r="276" spans="9:9" x14ac:dyDescent="0.3">
      <c r="I276" s="179"/>
    </row>
    <row r="277" spans="9:9" x14ac:dyDescent="0.3">
      <c r="I277" s="179"/>
    </row>
    <row r="278" spans="9:9" x14ac:dyDescent="0.3">
      <c r="I278" s="179"/>
    </row>
    <row r="279" spans="9:9" x14ac:dyDescent="0.3">
      <c r="I279" s="179"/>
    </row>
    <row r="280" spans="9:9" x14ac:dyDescent="0.3">
      <c r="I280" s="179"/>
    </row>
    <row r="281" spans="9:9" x14ac:dyDescent="0.3">
      <c r="I281" s="179"/>
    </row>
    <row r="282" spans="9:9" x14ac:dyDescent="0.3">
      <c r="I282" s="179"/>
    </row>
    <row r="283" spans="9:9" x14ac:dyDescent="0.3">
      <c r="I283" s="179"/>
    </row>
    <row r="284" spans="9:9" x14ac:dyDescent="0.3">
      <c r="I284" s="179"/>
    </row>
    <row r="285" spans="9:9" x14ac:dyDescent="0.3">
      <c r="I285" s="179"/>
    </row>
    <row r="286" spans="9:9" x14ac:dyDescent="0.3">
      <c r="I286" s="179"/>
    </row>
    <row r="287" spans="9:9" x14ac:dyDescent="0.3">
      <c r="I287" s="179"/>
    </row>
    <row r="288" spans="9:9" x14ac:dyDescent="0.3">
      <c r="I288" s="179"/>
    </row>
    <row r="289" spans="9:9" x14ac:dyDescent="0.3">
      <c r="I289" s="179"/>
    </row>
    <row r="290" spans="9:9" x14ac:dyDescent="0.3">
      <c r="I290" s="179"/>
    </row>
    <row r="291" spans="9:9" x14ac:dyDescent="0.3">
      <c r="I291" s="179"/>
    </row>
    <row r="292" spans="9:9" x14ac:dyDescent="0.3">
      <c r="I292" s="179"/>
    </row>
    <row r="293" spans="9:9" x14ac:dyDescent="0.3">
      <c r="I293" s="179"/>
    </row>
    <row r="294" spans="9:9" x14ac:dyDescent="0.3">
      <c r="I294" s="179"/>
    </row>
    <row r="295" spans="9:9" x14ac:dyDescent="0.3">
      <c r="I295" s="179"/>
    </row>
    <row r="296" spans="9:9" x14ac:dyDescent="0.3">
      <c r="I296" s="179"/>
    </row>
    <row r="297" spans="9:9" x14ac:dyDescent="0.3">
      <c r="I297" s="179"/>
    </row>
    <row r="298" spans="9:9" x14ac:dyDescent="0.3">
      <c r="I298" s="179"/>
    </row>
    <row r="299" spans="9:9" x14ac:dyDescent="0.3">
      <c r="I299" s="179"/>
    </row>
    <row r="300" spans="9:9" x14ac:dyDescent="0.3">
      <c r="I300" s="179"/>
    </row>
    <row r="301" spans="9:9" x14ac:dyDescent="0.3">
      <c r="I301" s="179"/>
    </row>
    <row r="302" spans="9:9" x14ac:dyDescent="0.3">
      <c r="I302" s="179"/>
    </row>
    <row r="303" spans="9:9" x14ac:dyDescent="0.3">
      <c r="I303" s="179"/>
    </row>
    <row r="304" spans="9:9" x14ac:dyDescent="0.3">
      <c r="I304" s="179"/>
    </row>
    <row r="305" spans="9:9" x14ac:dyDescent="0.3">
      <c r="I305" s="179"/>
    </row>
    <row r="306" spans="9:9" x14ac:dyDescent="0.3">
      <c r="I306" s="179"/>
    </row>
    <row r="307" spans="9:9" x14ac:dyDescent="0.3">
      <c r="I307" s="179"/>
    </row>
    <row r="308" spans="9:9" x14ac:dyDescent="0.3">
      <c r="I308" s="179"/>
    </row>
    <row r="309" spans="9:9" x14ac:dyDescent="0.3">
      <c r="I309" s="179"/>
    </row>
    <row r="310" spans="9:9" x14ac:dyDescent="0.3">
      <c r="I310" s="179"/>
    </row>
    <row r="311" spans="9:9" x14ac:dyDescent="0.3">
      <c r="I311" s="179"/>
    </row>
    <row r="312" spans="9:9" x14ac:dyDescent="0.3">
      <c r="I312" s="179"/>
    </row>
    <row r="313" spans="9:9" x14ac:dyDescent="0.3">
      <c r="I313" s="179"/>
    </row>
    <row r="314" spans="9:9" x14ac:dyDescent="0.3">
      <c r="I314" s="179"/>
    </row>
    <row r="315" spans="9:9" x14ac:dyDescent="0.3">
      <c r="I315" s="179"/>
    </row>
    <row r="316" spans="9:9" x14ac:dyDescent="0.3">
      <c r="I316" s="179"/>
    </row>
    <row r="317" spans="9:9" x14ac:dyDescent="0.3">
      <c r="I317" s="179"/>
    </row>
    <row r="318" spans="9:9" x14ac:dyDescent="0.3">
      <c r="I318" s="179"/>
    </row>
    <row r="319" spans="9:9" x14ac:dyDescent="0.3">
      <c r="I319" s="179"/>
    </row>
    <row r="320" spans="9:9" x14ac:dyDescent="0.3">
      <c r="I320" s="179"/>
    </row>
    <row r="321" spans="9:9" x14ac:dyDescent="0.3">
      <c r="I321" s="179"/>
    </row>
    <row r="322" spans="9:9" x14ac:dyDescent="0.3">
      <c r="I322" s="179"/>
    </row>
    <row r="323" spans="9:9" x14ac:dyDescent="0.3">
      <c r="I323" s="179"/>
    </row>
    <row r="324" spans="9:9" x14ac:dyDescent="0.3">
      <c r="I324" s="179"/>
    </row>
    <row r="325" spans="9:9" x14ac:dyDescent="0.3">
      <c r="I325" s="179"/>
    </row>
    <row r="326" spans="9:9" x14ac:dyDescent="0.3">
      <c r="I326" s="179"/>
    </row>
    <row r="327" spans="9:9" x14ac:dyDescent="0.3">
      <c r="I327" s="179"/>
    </row>
    <row r="328" spans="9:9" x14ac:dyDescent="0.3">
      <c r="I328" s="179"/>
    </row>
    <row r="329" spans="9:9" x14ac:dyDescent="0.3">
      <c r="I329" s="179"/>
    </row>
    <row r="330" spans="9:9" x14ac:dyDescent="0.3">
      <c r="I330" s="179"/>
    </row>
    <row r="331" spans="9:9" x14ac:dyDescent="0.3">
      <c r="I331" s="179"/>
    </row>
    <row r="332" spans="9:9" x14ac:dyDescent="0.3">
      <c r="I332" s="179"/>
    </row>
    <row r="333" spans="9:9" x14ac:dyDescent="0.3">
      <c r="I333" s="179"/>
    </row>
    <row r="334" spans="9:9" x14ac:dyDescent="0.3">
      <c r="I334" s="179"/>
    </row>
    <row r="335" spans="9:9" x14ac:dyDescent="0.3">
      <c r="I335" s="179"/>
    </row>
    <row r="336" spans="9:9" x14ac:dyDescent="0.3">
      <c r="I336" s="179"/>
    </row>
    <row r="337" spans="9:9" x14ac:dyDescent="0.3">
      <c r="I337" s="179"/>
    </row>
    <row r="338" spans="9:9" x14ac:dyDescent="0.3">
      <c r="I338" s="179"/>
    </row>
    <row r="339" spans="9:9" x14ac:dyDescent="0.3">
      <c r="I339" s="179"/>
    </row>
    <row r="340" spans="9:9" x14ac:dyDescent="0.3">
      <c r="I340" s="179"/>
    </row>
    <row r="341" spans="9:9" x14ac:dyDescent="0.3">
      <c r="I341" s="179"/>
    </row>
    <row r="342" spans="9:9" x14ac:dyDescent="0.3">
      <c r="I342" s="179"/>
    </row>
    <row r="343" spans="9:9" x14ac:dyDescent="0.3">
      <c r="I343" s="179"/>
    </row>
    <row r="344" spans="9:9" x14ac:dyDescent="0.3">
      <c r="I344" s="179"/>
    </row>
    <row r="345" spans="9:9" x14ac:dyDescent="0.3">
      <c r="I345" s="179"/>
    </row>
    <row r="346" spans="9:9" x14ac:dyDescent="0.3">
      <c r="I346" s="179"/>
    </row>
    <row r="347" spans="9:9" x14ac:dyDescent="0.3">
      <c r="I347" s="179"/>
    </row>
    <row r="348" spans="9:9" x14ac:dyDescent="0.3">
      <c r="I348" s="179"/>
    </row>
    <row r="349" spans="9:9" x14ac:dyDescent="0.3">
      <c r="I349" s="179"/>
    </row>
    <row r="350" spans="9:9" x14ac:dyDescent="0.3">
      <c r="I350" s="179"/>
    </row>
    <row r="351" spans="9:9" x14ac:dyDescent="0.3">
      <c r="I351" s="179"/>
    </row>
    <row r="352" spans="9:9" x14ac:dyDescent="0.3">
      <c r="I352" s="179"/>
    </row>
    <row r="353" spans="9:9" x14ac:dyDescent="0.3">
      <c r="I353" s="179"/>
    </row>
    <row r="354" spans="9:9" x14ac:dyDescent="0.3">
      <c r="I354" s="179"/>
    </row>
    <row r="355" spans="9:9" x14ac:dyDescent="0.3">
      <c r="I355" s="179"/>
    </row>
    <row r="356" spans="9:9" x14ac:dyDescent="0.3">
      <c r="I356" s="179"/>
    </row>
    <row r="357" spans="9:9" x14ac:dyDescent="0.3">
      <c r="I357" s="179"/>
    </row>
    <row r="358" spans="9:9" x14ac:dyDescent="0.3">
      <c r="I358" s="179"/>
    </row>
    <row r="359" spans="9:9" x14ac:dyDescent="0.3">
      <c r="I359" s="179"/>
    </row>
    <row r="360" spans="9:9" x14ac:dyDescent="0.3">
      <c r="I360" s="179"/>
    </row>
    <row r="361" spans="9:9" x14ac:dyDescent="0.3">
      <c r="I361" s="179"/>
    </row>
    <row r="362" spans="9:9" x14ac:dyDescent="0.3">
      <c r="I362" s="179"/>
    </row>
    <row r="363" spans="9:9" x14ac:dyDescent="0.3">
      <c r="I363" s="179"/>
    </row>
    <row r="364" spans="9:9" x14ac:dyDescent="0.3">
      <c r="I364" s="179"/>
    </row>
    <row r="365" spans="9:9" x14ac:dyDescent="0.3">
      <c r="I365" s="179"/>
    </row>
    <row r="366" spans="9:9" x14ac:dyDescent="0.3">
      <c r="I366" s="179"/>
    </row>
    <row r="367" spans="9:9" x14ac:dyDescent="0.3">
      <c r="I367" s="179"/>
    </row>
    <row r="368" spans="9:9" x14ac:dyDescent="0.3">
      <c r="I368" s="179"/>
    </row>
    <row r="369" spans="9:9" x14ac:dyDescent="0.3">
      <c r="I369" s="179"/>
    </row>
    <row r="370" spans="9:9" x14ac:dyDescent="0.3">
      <c r="I370" s="179"/>
    </row>
    <row r="371" spans="9:9" x14ac:dyDescent="0.3">
      <c r="I371" s="179"/>
    </row>
    <row r="372" spans="9:9" x14ac:dyDescent="0.3">
      <c r="I372" s="179"/>
    </row>
    <row r="373" spans="9:9" x14ac:dyDescent="0.3">
      <c r="I373" s="179"/>
    </row>
    <row r="374" spans="9:9" x14ac:dyDescent="0.3">
      <c r="I374" s="179"/>
    </row>
    <row r="375" spans="9:9" x14ac:dyDescent="0.3">
      <c r="I375" s="179"/>
    </row>
    <row r="376" spans="9:9" x14ac:dyDescent="0.3">
      <c r="I376" s="179"/>
    </row>
    <row r="377" spans="9:9" x14ac:dyDescent="0.3">
      <c r="I377" s="179"/>
    </row>
    <row r="378" spans="9:9" x14ac:dyDescent="0.3">
      <c r="I378" s="179"/>
    </row>
    <row r="379" spans="9:9" x14ac:dyDescent="0.3">
      <c r="I379" s="179"/>
    </row>
    <row r="380" spans="9:9" x14ac:dyDescent="0.3">
      <c r="I380" s="179"/>
    </row>
    <row r="381" spans="9:9" x14ac:dyDescent="0.3">
      <c r="I381" s="179"/>
    </row>
    <row r="382" spans="9:9" x14ac:dyDescent="0.3">
      <c r="I382" s="179"/>
    </row>
    <row r="383" spans="9:9" x14ac:dyDescent="0.3">
      <c r="I383" s="179"/>
    </row>
    <row r="384" spans="9:9" x14ac:dyDescent="0.3">
      <c r="I384" s="179"/>
    </row>
    <row r="385" spans="9:9" x14ac:dyDescent="0.3">
      <c r="I385" s="179"/>
    </row>
    <row r="386" spans="9:9" x14ac:dyDescent="0.3">
      <c r="I386" s="179"/>
    </row>
    <row r="387" spans="9:9" x14ac:dyDescent="0.3">
      <c r="I387" s="179"/>
    </row>
    <row r="388" spans="9:9" x14ac:dyDescent="0.3">
      <c r="I388" s="179"/>
    </row>
    <row r="389" spans="9:9" x14ac:dyDescent="0.3">
      <c r="I389" s="179"/>
    </row>
    <row r="390" spans="9:9" x14ac:dyDescent="0.3">
      <c r="I390" s="179"/>
    </row>
    <row r="391" spans="9:9" x14ac:dyDescent="0.3">
      <c r="I391" s="179"/>
    </row>
    <row r="392" spans="9:9" x14ac:dyDescent="0.3">
      <c r="I392" s="179"/>
    </row>
    <row r="393" spans="9:9" x14ac:dyDescent="0.3">
      <c r="I393" s="179"/>
    </row>
    <row r="394" spans="9:9" x14ac:dyDescent="0.3">
      <c r="I394" s="179"/>
    </row>
    <row r="395" spans="9:9" x14ac:dyDescent="0.3">
      <c r="I395" s="179"/>
    </row>
    <row r="396" spans="9:9" x14ac:dyDescent="0.3">
      <c r="I396" s="179"/>
    </row>
    <row r="397" spans="9:9" x14ac:dyDescent="0.3">
      <c r="I397" s="179"/>
    </row>
    <row r="398" spans="9:9" x14ac:dyDescent="0.3">
      <c r="I398" s="179"/>
    </row>
    <row r="399" spans="9:9" x14ac:dyDescent="0.3">
      <c r="I399" s="179"/>
    </row>
    <row r="400" spans="9:9" x14ac:dyDescent="0.3">
      <c r="I400" s="179"/>
    </row>
    <row r="401" spans="9:9" x14ac:dyDescent="0.3">
      <c r="I401" s="179"/>
    </row>
    <row r="402" spans="9:9" x14ac:dyDescent="0.3">
      <c r="I402" s="179"/>
    </row>
    <row r="403" spans="9:9" x14ac:dyDescent="0.3">
      <c r="I403" s="179"/>
    </row>
    <row r="404" spans="9:9" x14ac:dyDescent="0.3">
      <c r="I404" s="179"/>
    </row>
    <row r="405" spans="9:9" x14ac:dyDescent="0.3">
      <c r="I405" s="179"/>
    </row>
    <row r="406" spans="9:9" x14ac:dyDescent="0.3">
      <c r="I406" s="179"/>
    </row>
    <row r="407" spans="9:9" x14ac:dyDescent="0.3">
      <c r="I407" s="179"/>
    </row>
    <row r="408" spans="9:9" x14ac:dyDescent="0.3">
      <c r="I408" s="179"/>
    </row>
    <row r="409" spans="9:9" x14ac:dyDescent="0.3">
      <c r="I409" s="179"/>
    </row>
    <row r="410" spans="9:9" x14ac:dyDescent="0.3">
      <c r="I410" s="179"/>
    </row>
    <row r="411" spans="9:9" x14ac:dyDescent="0.3">
      <c r="I411" s="179"/>
    </row>
    <row r="412" spans="9:9" x14ac:dyDescent="0.3">
      <c r="I412" s="179"/>
    </row>
    <row r="413" spans="9:9" x14ac:dyDescent="0.3">
      <c r="I413" s="179"/>
    </row>
    <row r="414" spans="9:9" x14ac:dyDescent="0.3">
      <c r="I414" s="179"/>
    </row>
    <row r="415" spans="9:9" x14ac:dyDescent="0.3">
      <c r="I415" s="179"/>
    </row>
    <row r="416" spans="9:9" x14ac:dyDescent="0.3">
      <c r="I416" s="179"/>
    </row>
    <row r="417" spans="9:9" x14ac:dyDescent="0.3">
      <c r="I417" s="179"/>
    </row>
    <row r="418" spans="9:9" x14ac:dyDescent="0.3">
      <c r="I418" s="179"/>
    </row>
    <row r="419" spans="9:9" x14ac:dyDescent="0.3">
      <c r="I419" s="179"/>
    </row>
    <row r="420" spans="9:9" x14ac:dyDescent="0.3">
      <c r="I420" s="179"/>
    </row>
    <row r="421" spans="9:9" x14ac:dyDescent="0.3">
      <c r="I421" s="179"/>
    </row>
    <row r="422" spans="9:9" x14ac:dyDescent="0.3">
      <c r="I422" s="179"/>
    </row>
    <row r="423" spans="9:9" x14ac:dyDescent="0.3">
      <c r="I423" s="179"/>
    </row>
    <row r="424" spans="9:9" x14ac:dyDescent="0.3">
      <c r="I424" s="179"/>
    </row>
    <row r="425" spans="9:9" x14ac:dyDescent="0.3">
      <c r="I425" s="179"/>
    </row>
    <row r="426" spans="9:9" x14ac:dyDescent="0.3">
      <c r="I426" s="179"/>
    </row>
    <row r="427" spans="9:9" x14ac:dyDescent="0.3">
      <c r="I427" s="179"/>
    </row>
    <row r="428" spans="9:9" x14ac:dyDescent="0.3">
      <c r="I428" s="179"/>
    </row>
    <row r="429" spans="9:9" x14ac:dyDescent="0.3">
      <c r="I429" s="179"/>
    </row>
    <row r="430" spans="9:9" x14ac:dyDescent="0.3">
      <c r="I430" s="179"/>
    </row>
    <row r="431" spans="9:9" x14ac:dyDescent="0.3">
      <c r="I431" s="179"/>
    </row>
    <row r="432" spans="9:9" x14ac:dyDescent="0.3">
      <c r="I432" s="179"/>
    </row>
    <row r="433" spans="9:9" x14ac:dyDescent="0.3">
      <c r="I433" s="179"/>
    </row>
    <row r="434" spans="9:9" x14ac:dyDescent="0.3">
      <c r="I434" s="179"/>
    </row>
    <row r="435" spans="9:9" x14ac:dyDescent="0.3">
      <c r="I435" s="179"/>
    </row>
    <row r="436" spans="9:9" x14ac:dyDescent="0.3">
      <c r="I436" s="179"/>
    </row>
    <row r="437" spans="9:9" x14ac:dyDescent="0.3">
      <c r="I437" s="179"/>
    </row>
    <row r="438" spans="9:9" x14ac:dyDescent="0.3">
      <c r="I438" s="179"/>
    </row>
    <row r="439" spans="9:9" x14ac:dyDescent="0.3">
      <c r="I439" s="179"/>
    </row>
    <row r="440" spans="9:9" x14ac:dyDescent="0.3">
      <c r="I440" s="179"/>
    </row>
    <row r="441" spans="9:9" x14ac:dyDescent="0.3">
      <c r="I441" s="179"/>
    </row>
    <row r="442" spans="9:9" x14ac:dyDescent="0.3">
      <c r="I442" s="179"/>
    </row>
    <row r="443" spans="9:9" x14ac:dyDescent="0.3">
      <c r="I443" s="179"/>
    </row>
    <row r="444" spans="9:9" x14ac:dyDescent="0.3">
      <c r="I444" s="179"/>
    </row>
    <row r="445" spans="9:9" x14ac:dyDescent="0.3">
      <c r="I445" s="179"/>
    </row>
    <row r="446" spans="9:9" x14ac:dyDescent="0.3">
      <c r="I446" s="179"/>
    </row>
    <row r="447" spans="9:9" x14ac:dyDescent="0.3">
      <c r="I447" s="179"/>
    </row>
    <row r="448" spans="9:9" x14ac:dyDescent="0.3">
      <c r="I448" s="179"/>
    </row>
    <row r="449" spans="9:9" x14ac:dyDescent="0.3">
      <c r="I449" s="179"/>
    </row>
    <row r="450" spans="9:9" x14ac:dyDescent="0.3">
      <c r="I450" s="179"/>
    </row>
    <row r="451" spans="9:9" x14ac:dyDescent="0.3">
      <c r="I451" s="179"/>
    </row>
    <row r="452" spans="9:9" x14ac:dyDescent="0.3">
      <c r="I452" s="179"/>
    </row>
    <row r="453" spans="9:9" x14ac:dyDescent="0.3">
      <c r="I453" s="179"/>
    </row>
    <row r="454" spans="9:9" x14ac:dyDescent="0.3">
      <c r="I454" s="179"/>
    </row>
    <row r="455" spans="9:9" x14ac:dyDescent="0.3">
      <c r="I455" s="179"/>
    </row>
    <row r="456" spans="9:9" x14ac:dyDescent="0.3">
      <c r="I456" s="179"/>
    </row>
    <row r="457" spans="9:9" x14ac:dyDescent="0.3">
      <c r="I457" s="179"/>
    </row>
    <row r="458" spans="9:9" x14ac:dyDescent="0.3">
      <c r="I458" s="179"/>
    </row>
    <row r="459" spans="9:9" x14ac:dyDescent="0.3">
      <c r="I459" s="179"/>
    </row>
    <row r="460" spans="9:9" x14ac:dyDescent="0.3">
      <c r="I460" s="179"/>
    </row>
    <row r="461" spans="9:9" x14ac:dyDescent="0.3">
      <c r="I461" s="179"/>
    </row>
    <row r="462" spans="9:9" x14ac:dyDescent="0.3">
      <c r="I462" s="179"/>
    </row>
    <row r="463" spans="9:9" x14ac:dyDescent="0.3">
      <c r="I463" s="179"/>
    </row>
    <row r="464" spans="9:9" x14ac:dyDescent="0.3">
      <c r="I464" s="179"/>
    </row>
    <row r="465" spans="9:9" x14ac:dyDescent="0.3">
      <c r="I465" s="179"/>
    </row>
    <row r="466" spans="9:9" x14ac:dyDescent="0.3">
      <c r="I466" s="179"/>
    </row>
    <row r="467" spans="9:9" x14ac:dyDescent="0.3">
      <c r="I467" s="179"/>
    </row>
    <row r="468" spans="9:9" x14ac:dyDescent="0.3">
      <c r="I468" s="179"/>
    </row>
    <row r="469" spans="9:9" x14ac:dyDescent="0.3">
      <c r="I469" s="179"/>
    </row>
    <row r="470" spans="9:9" x14ac:dyDescent="0.3">
      <c r="I470" s="179"/>
    </row>
    <row r="471" spans="9:9" x14ac:dyDescent="0.3">
      <c r="I471" s="179"/>
    </row>
    <row r="472" spans="9:9" x14ac:dyDescent="0.3">
      <c r="I472" s="179"/>
    </row>
    <row r="473" spans="9:9" x14ac:dyDescent="0.3">
      <c r="I473" s="179"/>
    </row>
    <row r="474" spans="9:9" x14ac:dyDescent="0.3">
      <c r="I474" s="179"/>
    </row>
    <row r="475" spans="9:9" x14ac:dyDescent="0.3">
      <c r="I475" s="179"/>
    </row>
    <row r="476" spans="9:9" x14ac:dyDescent="0.3">
      <c r="I476" s="179"/>
    </row>
    <row r="477" spans="9:9" x14ac:dyDescent="0.3">
      <c r="I477" s="179"/>
    </row>
    <row r="478" spans="9:9" x14ac:dyDescent="0.3">
      <c r="I478" s="179"/>
    </row>
    <row r="479" spans="9:9" x14ac:dyDescent="0.3">
      <c r="I479" s="179"/>
    </row>
    <row r="480" spans="9:9" x14ac:dyDescent="0.3">
      <c r="I480" s="179"/>
    </row>
    <row r="481" spans="9:9" x14ac:dyDescent="0.3">
      <c r="I481" s="179"/>
    </row>
    <row r="482" spans="9:9" x14ac:dyDescent="0.3">
      <c r="I482" s="179"/>
    </row>
    <row r="483" spans="9:9" x14ac:dyDescent="0.3">
      <c r="I483" s="179"/>
    </row>
    <row r="484" spans="9:9" x14ac:dyDescent="0.3">
      <c r="I484" s="179"/>
    </row>
    <row r="485" spans="9:9" x14ac:dyDescent="0.3">
      <c r="I485" s="179"/>
    </row>
    <row r="486" spans="9:9" x14ac:dyDescent="0.3">
      <c r="I486" s="179"/>
    </row>
    <row r="487" spans="9:9" x14ac:dyDescent="0.3">
      <c r="I487" s="179"/>
    </row>
    <row r="488" spans="9:9" x14ac:dyDescent="0.3">
      <c r="I488" s="179"/>
    </row>
    <row r="489" spans="9:9" x14ac:dyDescent="0.3">
      <c r="I489" s="179"/>
    </row>
    <row r="490" spans="9:9" x14ac:dyDescent="0.3">
      <c r="I490" s="179"/>
    </row>
    <row r="491" spans="9:9" x14ac:dyDescent="0.3">
      <c r="I491" s="179"/>
    </row>
    <row r="492" spans="9:9" x14ac:dyDescent="0.3">
      <c r="I492" s="179"/>
    </row>
    <row r="493" spans="9:9" x14ac:dyDescent="0.3">
      <c r="I493" s="179"/>
    </row>
    <row r="494" spans="9:9" x14ac:dyDescent="0.3">
      <c r="I494" s="179"/>
    </row>
    <row r="495" spans="9:9" x14ac:dyDescent="0.3">
      <c r="I495" s="179"/>
    </row>
    <row r="496" spans="9:9" x14ac:dyDescent="0.3">
      <c r="I496" s="179"/>
    </row>
    <row r="497" spans="9:9" x14ac:dyDescent="0.3">
      <c r="I497" s="179"/>
    </row>
    <row r="498" spans="9:9" x14ac:dyDescent="0.3">
      <c r="I498" s="179"/>
    </row>
  </sheetData>
  <sheetProtection formatCells="0" formatColumns="0" formatRows="0" sort="0" autoFilter="0" pivotTables="0"/>
  <mergeCells count="1">
    <mergeCell ref="H1:I1"/>
  </mergeCells>
  <printOptions horizontalCentered="1"/>
  <pageMargins left="0.74803149606299213" right="0.74803149606299213" top="0.37" bottom="0.27559055118110237" header="0.15748031496062992" footer="0.15748031496062992"/>
  <pageSetup paperSize="9" orientation="landscape" r:id="rId1"/>
  <headerFooter>
    <oddHeader>&amp;R&amp;N / &amp;P. oldal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Button 1">
              <controlPr defaultSize="0" print="0" autoFill="0" autoPict="0" macro="[0]!Makró_listak_feederkis">
                <anchor>
                  <from>
                    <xdr:col>0</xdr:col>
                    <xdr:colOff>114300</xdr:colOff>
                    <xdr:row>2</xdr:row>
                    <xdr:rowOff>160020</xdr:rowOff>
                  </from>
                  <to>
                    <xdr:col>1</xdr:col>
                    <xdr:colOff>152400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Button 2">
              <controlPr defaultSize="0" print="0" autoFill="0" autoPict="0" macro="[0]!Makró_listak_uszos">
                <anchor>
                  <from>
                    <xdr:col>1</xdr:col>
                    <xdr:colOff>1280160</xdr:colOff>
                    <xdr:row>2</xdr:row>
                    <xdr:rowOff>160020</xdr:rowOff>
                  </from>
                  <to>
                    <xdr:col>1</xdr:col>
                    <xdr:colOff>1744980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Button 3">
              <controlPr defaultSize="0" print="0" autoFill="0" autoPict="0" macro="[0]!Makró_listak_noi">
                <anchor>
                  <from>
                    <xdr:col>2</xdr:col>
                    <xdr:colOff>7620</xdr:colOff>
                    <xdr:row>2</xdr:row>
                    <xdr:rowOff>160020</xdr:rowOff>
                  </from>
                  <to>
                    <xdr:col>2</xdr:col>
                    <xdr:colOff>563880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Button 4">
              <controlPr defaultSize="0" print="0" autoFill="0" autoPict="0" macro="[0]!Makró_listak_ifjusagi">
                <anchor>
                  <from>
                    <xdr:col>2</xdr:col>
                    <xdr:colOff>640080</xdr:colOff>
                    <xdr:row>2</xdr:row>
                    <xdr:rowOff>160020</xdr:rowOff>
                  </from>
                  <to>
                    <xdr:col>2</xdr:col>
                    <xdr:colOff>1181100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Button 5">
              <controlPr defaultSize="0" print="0" autoFill="0" autoPict="0" macro="[0]!Makró_listak_gyermek">
                <anchor>
                  <from>
                    <xdr:col>2</xdr:col>
                    <xdr:colOff>1257300</xdr:colOff>
                    <xdr:row>2</xdr:row>
                    <xdr:rowOff>160020</xdr:rowOff>
                  </from>
                  <to>
                    <xdr:col>3</xdr:col>
                    <xdr:colOff>259080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Button 6">
              <controlPr defaultSize="0" print="0" autoFill="0" autoPict="0" macro="[0]!Makró_listak_szektorgyoztesek">
                <anchor>
                  <from>
                    <xdr:col>3</xdr:col>
                    <xdr:colOff>914400</xdr:colOff>
                    <xdr:row>2</xdr:row>
                    <xdr:rowOff>160020</xdr:rowOff>
                  </from>
                  <to>
                    <xdr:col>5</xdr:col>
                    <xdr:colOff>121920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Button 7">
              <controlPr defaultSize="0" print="0" autoFill="0" autoPict="0" macro="[0]!Makró_listak_feedernagy">
                <anchor>
                  <from>
                    <xdr:col>1</xdr:col>
                    <xdr:colOff>228600</xdr:colOff>
                    <xdr:row>2</xdr:row>
                    <xdr:rowOff>160020</xdr:rowOff>
                  </from>
                  <to>
                    <xdr:col>1</xdr:col>
                    <xdr:colOff>1203960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Button 8">
              <controlPr defaultSize="0" print="0" autoFill="0" autoPict="0" macro="[0]!Makró_listak_kulfoldi">
                <anchor>
                  <from>
                    <xdr:col>3</xdr:col>
                    <xdr:colOff>312420</xdr:colOff>
                    <xdr:row>2</xdr:row>
                    <xdr:rowOff>160020</xdr:rowOff>
                  </from>
                  <to>
                    <xdr:col>3</xdr:col>
                    <xdr:colOff>861060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7">
    <tabColor rgb="FF92D050"/>
  </sheetPr>
  <dimension ref="A1:Z198"/>
  <sheetViews>
    <sheetView showGridLines="0" showRowColHeaders="0" tabSelected="1" workbookViewId="0">
      <selection activeCell="A5" sqref="A5:A6"/>
    </sheetView>
  </sheetViews>
  <sheetFormatPr defaultRowHeight="14.4" x14ac:dyDescent="0.3"/>
  <cols>
    <col min="1" max="1" width="4.33203125" customWidth="1"/>
    <col min="2" max="2" width="25.109375" customWidth="1"/>
    <col min="3" max="3" width="20" customWidth="1"/>
    <col min="4" max="4" width="15.5546875" customWidth="1"/>
    <col min="5" max="5" width="8.6640625" customWidth="1"/>
    <col min="6" max="6" width="5.33203125" style="126" customWidth="1"/>
    <col min="7" max="8" width="2.6640625" customWidth="1"/>
    <col min="9" max="9" width="5.33203125" customWidth="1"/>
    <col min="10" max="11" width="2.6640625" customWidth="1"/>
    <col min="12" max="12" width="5.33203125" customWidth="1"/>
    <col min="13" max="14" width="2.6640625" customWidth="1"/>
    <col min="15" max="15" width="5.33203125" customWidth="1"/>
    <col min="16" max="17" width="2.6640625" customWidth="1"/>
    <col min="18" max="18" width="5.33203125" customWidth="1"/>
    <col min="19" max="20" width="2.6640625" customWidth="1"/>
    <col min="21" max="21" width="5.33203125" customWidth="1"/>
    <col min="22" max="23" width="2.6640625" customWidth="1"/>
    <col min="24" max="24" width="5.6640625" customWidth="1"/>
    <col min="25" max="25" width="10.33203125" customWidth="1"/>
  </cols>
  <sheetData>
    <row r="1" spans="1:26" x14ac:dyDescent="0.3">
      <c r="A1" s="364"/>
      <c r="B1" s="364"/>
      <c r="C1" s="364"/>
      <c r="G1" s="18"/>
      <c r="H1" s="18"/>
      <c r="I1" s="348"/>
      <c r="J1" s="348"/>
      <c r="K1" s="348"/>
      <c r="L1" s="348"/>
      <c r="M1" s="64"/>
      <c r="N1" s="64"/>
    </row>
    <row r="2" spans="1:26" ht="15.75" customHeight="1" x14ac:dyDescent="0.3">
      <c r="A2" s="364"/>
      <c r="B2" s="364"/>
      <c r="C2" s="364"/>
      <c r="G2" s="18"/>
      <c r="H2" s="18"/>
      <c r="L2" s="46"/>
      <c r="M2" s="46"/>
      <c r="N2" s="46"/>
    </row>
    <row r="3" spans="1:26" x14ac:dyDescent="0.3">
      <c r="G3" s="18"/>
      <c r="H3" s="18"/>
      <c r="L3" s="46"/>
      <c r="M3" s="46"/>
      <c r="N3" s="46"/>
    </row>
    <row r="4" spans="1:26" ht="33" customHeight="1" x14ac:dyDescent="0.3">
      <c r="A4" s="168"/>
      <c r="B4" s="169" t="s">
        <v>51</v>
      </c>
      <c r="C4" s="183" t="s">
        <v>441</v>
      </c>
      <c r="D4" s="170"/>
      <c r="E4" s="184">
        <f>COUNTIF(E7:E184,"ifjúsági")</f>
        <v>8</v>
      </c>
      <c r="F4" s="171" t="s">
        <v>73</v>
      </c>
      <c r="G4" s="172"/>
      <c r="H4" s="172"/>
      <c r="I4" s="167"/>
      <c r="J4" s="167"/>
      <c r="K4" s="167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9" t="s">
        <v>74</v>
      </c>
      <c r="Y4" s="173">
        <f>SUM(Y7:Y184)</f>
        <v>214825</v>
      </c>
    </row>
    <row r="5" spans="1:26" ht="20.25" customHeight="1" x14ac:dyDescent="0.3">
      <c r="A5" s="360" t="s">
        <v>0</v>
      </c>
      <c r="B5" s="360" t="s">
        <v>1</v>
      </c>
      <c r="C5" s="360" t="s">
        <v>2</v>
      </c>
      <c r="D5" s="362" t="s">
        <v>4</v>
      </c>
      <c r="E5" s="362" t="s">
        <v>3</v>
      </c>
      <c r="F5" s="356" t="s">
        <v>66</v>
      </c>
      <c r="G5" s="357"/>
      <c r="H5" s="358"/>
      <c r="I5" s="349" t="s">
        <v>67</v>
      </c>
      <c r="J5" s="350"/>
      <c r="K5" s="351"/>
      <c r="L5" s="349" t="s">
        <v>69</v>
      </c>
      <c r="M5" s="350"/>
      <c r="N5" s="351"/>
      <c r="O5" s="349" t="s">
        <v>68</v>
      </c>
      <c r="P5" s="350"/>
      <c r="Q5" s="351"/>
      <c r="R5" s="349" t="s">
        <v>70</v>
      </c>
      <c r="S5" s="350"/>
      <c r="T5" s="351"/>
      <c r="U5" s="349" t="s">
        <v>184</v>
      </c>
      <c r="V5" s="350"/>
      <c r="W5" s="351"/>
      <c r="X5" s="354" t="s">
        <v>71</v>
      </c>
      <c r="Y5" s="355"/>
    </row>
    <row r="6" spans="1:26" ht="19.5" customHeight="1" x14ac:dyDescent="0.3">
      <c r="A6" s="361"/>
      <c r="B6" s="361"/>
      <c r="C6" s="361"/>
      <c r="D6" s="363"/>
      <c r="E6" s="363"/>
      <c r="F6" s="72" t="s">
        <v>63</v>
      </c>
      <c r="G6" s="359" t="s">
        <v>65</v>
      </c>
      <c r="H6" s="353"/>
      <c r="I6" s="72" t="s">
        <v>63</v>
      </c>
      <c r="J6" s="359" t="s">
        <v>65</v>
      </c>
      <c r="K6" s="353"/>
      <c r="L6" s="129" t="s">
        <v>63</v>
      </c>
      <c r="M6" s="352" t="s">
        <v>65</v>
      </c>
      <c r="N6" s="353"/>
      <c r="O6" s="129" t="s">
        <v>63</v>
      </c>
      <c r="P6" s="352" t="s">
        <v>65</v>
      </c>
      <c r="Q6" s="353"/>
      <c r="R6" s="283" t="s">
        <v>63</v>
      </c>
      <c r="S6" s="352" t="s">
        <v>65</v>
      </c>
      <c r="T6" s="353"/>
      <c r="U6" s="129" t="s">
        <v>63</v>
      </c>
      <c r="V6" s="352" t="s">
        <v>65</v>
      </c>
      <c r="W6" s="353"/>
      <c r="X6" s="65" t="s">
        <v>63</v>
      </c>
      <c r="Y6" s="55" t="s">
        <v>64</v>
      </c>
    </row>
    <row r="7" spans="1:26" ht="15" customHeight="1" x14ac:dyDescent="0.3">
      <c r="A7" s="68">
        <v>54</v>
      </c>
      <c r="B7" s="250" t="s">
        <v>241</v>
      </c>
      <c r="C7" s="250" t="s">
        <v>216</v>
      </c>
      <c r="D7" s="143" t="s">
        <v>9</v>
      </c>
      <c r="E7" s="142" t="s">
        <v>11</v>
      </c>
      <c r="F7" s="127">
        <v>2</v>
      </c>
      <c r="G7" s="62" t="s">
        <v>362</v>
      </c>
      <c r="H7" s="130">
        <v>8</v>
      </c>
      <c r="I7" s="127">
        <v>2</v>
      </c>
      <c r="J7" s="62" t="s">
        <v>357</v>
      </c>
      <c r="K7" s="130">
        <v>11</v>
      </c>
      <c r="L7" s="127">
        <v>2</v>
      </c>
      <c r="M7" s="62" t="s">
        <v>363</v>
      </c>
      <c r="N7" s="130">
        <v>12</v>
      </c>
      <c r="O7" s="127"/>
      <c r="P7" s="62"/>
      <c r="Q7" s="63"/>
      <c r="R7" s="127"/>
      <c r="S7" s="130"/>
      <c r="T7" s="130"/>
      <c r="U7" s="127"/>
      <c r="V7" s="62"/>
      <c r="W7" s="63"/>
      <c r="X7" s="128">
        <v>6</v>
      </c>
      <c r="Y7" s="286">
        <v>54775</v>
      </c>
    </row>
    <row r="8" spans="1:26" x14ac:dyDescent="0.3">
      <c r="A8" s="68">
        <v>13</v>
      </c>
      <c r="B8" s="141" t="s">
        <v>149</v>
      </c>
      <c r="C8" s="250" t="s">
        <v>150</v>
      </c>
      <c r="D8" s="143" t="s">
        <v>116</v>
      </c>
      <c r="E8" s="142" t="s">
        <v>11</v>
      </c>
      <c r="F8" s="127">
        <v>7</v>
      </c>
      <c r="G8" s="62" t="s">
        <v>354</v>
      </c>
      <c r="H8" s="130">
        <v>3</v>
      </c>
      <c r="I8" s="127">
        <v>5</v>
      </c>
      <c r="J8" s="62" t="s">
        <v>363</v>
      </c>
      <c r="K8" s="130">
        <v>9</v>
      </c>
      <c r="L8" s="127">
        <v>5</v>
      </c>
      <c r="M8" s="62" t="s">
        <v>360</v>
      </c>
      <c r="N8" s="130">
        <v>9</v>
      </c>
      <c r="O8" s="127"/>
      <c r="P8" s="62"/>
      <c r="Q8" s="63"/>
      <c r="R8" s="127"/>
      <c r="S8" s="130"/>
      <c r="T8" s="130"/>
      <c r="U8" s="127"/>
      <c r="V8" s="62"/>
      <c r="W8" s="63"/>
      <c r="X8" s="128">
        <v>17</v>
      </c>
      <c r="Y8" s="286">
        <v>22175</v>
      </c>
    </row>
    <row r="9" spans="1:26" ht="15" customHeight="1" x14ac:dyDescent="0.3">
      <c r="A9" s="68">
        <v>81</v>
      </c>
      <c r="B9" s="141" t="s">
        <v>286</v>
      </c>
      <c r="C9" s="141" t="s">
        <v>216</v>
      </c>
      <c r="D9" s="143" t="s">
        <v>9</v>
      </c>
      <c r="E9" s="142" t="s">
        <v>11</v>
      </c>
      <c r="F9" s="127">
        <v>4</v>
      </c>
      <c r="G9" s="62" t="s">
        <v>358</v>
      </c>
      <c r="H9" s="130">
        <v>2</v>
      </c>
      <c r="I9" s="127">
        <v>6</v>
      </c>
      <c r="J9" s="62" t="s">
        <v>353</v>
      </c>
      <c r="K9" s="130">
        <v>2</v>
      </c>
      <c r="L9" s="127">
        <v>20</v>
      </c>
      <c r="M9" s="62" t="s">
        <v>185</v>
      </c>
      <c r="N9" s="130" t="s">
        <v>185</v>
      </c>
      <c r="O9" s="127"/>
      <c r="P9" s="62"/>
      <c r="Q9" s="63"/>
      <c r="R9" s="127"/>
      <c r="S9" s="130"/>
      <c r="T9" s="130"/>
      <c r="U9" s="127"/>
      <c r="V9" s="62"/>
      <c r="W9" s="63"/>
      <c r="X9" s="128">
        <v>30</v>
      </c>
      <c r="Y9" s="286">
        <v>38625</v>
      </c>
    </row>
    <row r="10" spans="1:26" ht="15" customHeight="1" x14ac:dyDescent="0.3">
      <c r="A10" s="68">
        <v>114</v>
      </c>
      <c r="B10" s="47" t="s">
        <v>333</v>
      </c>
      <c r="C10" s="47" t="s">
        <v>297</v>
      </c>
      <c r="D10" s="143" t="s">
        <v>9</v>
      </c>
      <c r="E10" s="69" t="s">
        <v>11</v>
      </c>
      <c r="F10" s="127">
        <v>11</v>
      </c>
      <c r="G10" s="62" t="s">
        <v>361</v>
      </c>
      <c r="H10" s="130">
        <v>7</v>
      </c>
      <c r="I10" s="127">
        <v>11</v>
      </c>
      <c r="J10" s="62" t="s">
        <v>357</v>
      </c>
      <c r="K10" s="130">
        <v>3</v>
      </c>
      <c r="L10" s="127">
        <v>8</v>
      </c>
      <c r="M10" s="62" t="s">
        <v>363</v>
      </c>
      <c r="N10" s="130">
        <v>6</v>
      </c>
      <c r="O10" s="127"/>
      <c r="P10" s="62"/>
      <c r="Q10" s="63"/>
      <c r="R10" s="127"/>
      <c r="S10" s="130"/>
      <c r="T10" s="130"/>
      <c r="U10" s="127"/>
      <c r="V10" s="62"/>
      <c r="W10" s="63"/>
      <c r="X10" s="128">
        <v>30</v>
      </c>
      <c r="Y10" s="286">
        <v>29275</v>
      </c>
    </row>
    <row r="11" spans="1:26" ht="15" customHeight="1" x14ac:dyDescent="0.3">
      <c r="A11" s="68">
        <v>110</v>
      </c>
      <c r="B11" s="47" t="s">
        <v>328</v>
      </c>
      <c r="C11" s="249" t="s">
        <v>216</v>
      </c>
      <c r="D11" s="70" t="s">
        <v>9</v>
      </c>
      <c r="E11" s="69" t="s">
        <v>11</v>
      </c>
      <c r="F11" s="127">
        <v>12</v>
      </c>
      <c r="G11" s="62" t="s">
        <v>362</v>
      </c>
      <c r="H11" s="130">
        <v>3</v>
      </c>
      <c r="I11" s="127">
        <v>9</v>
      </c>
      <c r="J11" s="62" t="s">
        <v>353</v>
      </c>
      <c r="K11" s="130">
        <v>4</v>
      </c>
      <c r="L11" s="127">
        <v>12</v>
      </c>
      <c r="M11" s="62" t="s">
        <v>363</v>
      </c>
      <c r="N11" s="130">
        <v>11</v>
      </c>
      <c r="O11" s="127"/>
      <c r="P11" s="62"/>
      <c r="Q11" s="63"/>
      <c r="R11" s="127"/>
      <c r="S11" s="130"/>
      <c r="T11" s="130"/>
      <c r="U11" s="127"/>
      <c r="V11" s="62"/>
      <c r="W11" s="63"/>
      <c r="X11" s="128">
        <v>33</v>
      </c>
      <c r="Y11" s="286">
        <v>24550</v>
      </c>
    </row>
    <row r="12" spans="1:26" x14ac:dyDescent="0.3">
      <c r="A12" s="68">
        <v>82</v>
      </c>
      <c r="B12" s="141" t="s">
        <v>287</v>
      </c>
      <c r="C12" s="141" t="s">
        <v>216</v>
      </c>
      <c r="D12" s="143" t="s">
        <v>9</v>
      </c>
      <c r="E12" s="142" t="s">
        <v>11</v>
      </c>
      <c r="F12" s="127">
        <v>8</v>
      </c>
      <c r="G12" s="62" t="s">
        <v>358</v>
      </c>
      <c r="H12" s="130">
        <v>1</v>
      </c>
      <c r="I12" s="127">
        <v>6</v>
      </c>
      <c r="J12" s="62" t="s">
        <v>357</v>
      </c>
      <c r="K12" s="130">
        <v>2</v>
      </c>
      <c r="L12" s="127">
        <v>20</v>
      </c>
      <c r="M12" s="62" t="s">
        <v>185</v>
      </c>
      <c r="N12" s="130" t="s">
        <v>185</v>
      </c>
      <c r="O12" s="127"/>
      <c r="P12" s="62"/>
      <c r="Q12" s="63"/>
      <c r="R12" s="127"/>
      <c r="S12" s="130"/>
      <c r="T12" s="130"/>
      <c r="U12" s="127"/>
      <c r="V12" s="62"/>
      <c r="W12" s="63"/>
      <c r="X12" s="128">
        <v>34</v>
      </c>
      <c r="Y12" s="286">
        <v>28575</v>
      </c>
    </row>
    <row r="13" spans="1:26" ht="15" customHeight="1" x14ac:dyDescent="0.3">
      <c r="A13" s="71">
        <v>135</v>
      </c>
      <c r="B13" s="47" t="s">
        <v>389</v>
      </c>
      <c r="C13" s="249" t="s">
        <v>351</v>
      </c>
      <c r="D13" s="70" t="s">
        <v>116</v>
      </c>
      <c r="E13" s="69" t="s">
        <v>11</v>
      </c>
      <c r="F13" s="127">
        <v>20</v>
      </c>
      <c r="G13" s="62" t="s">
        <v>185</v>
      </c>
      <c r="H13" s="130" t="s">
        <v>185</v>
      </c>
      <c r="I13" s="127">
        <v>9</v>
      </c>
      <c r="J13" s="62" t="s">
        <v>355</v>
      </c>
      <c r="K13" s="130">
        <v>9</v>
      </c>
      <c r="L13" s="127">
        <v>7</v>
      </c>
      <c r="M13" s="62" t="s">
        <v>356</v>
      </c>
      <c r="N13" s="130">
        <v>7</v>
      </c>
      <c r="O13" s="127"/>
      <c r="P13" s="62"/>
      <c r="Q13" s="63"/>
      <c r="R13" s="127"/>
      <c r="S13" s="130"/>
      <c r="T13" s="130"/>
      <c r="U13" s="127"/>
      <c r="V13" s="62"/>
      <c r="W13" s="63"/>
      <c r="X13" s="128">
        <v>36</v>
      </c>
      <c r="Y13" s="286">
        <v>6950</v>
      </c>
    </row>
    <row r="14" spans="1:26" ht="15" customHeight="1" x14ac:dyDescent="0.3">
      <c r="A14" s="68">
        <v>15</v>
      </c>
      <c r="B14" s="141" t="s">
        <v>152</v>
      </c>
      <c r="C14" s="141" t="s">
        <v>104</v>
      </c>
      <c r="D14" s="143" t="s">
        <v>116</v>
      </c>
      <c r="E14" s="142" t="s">
        <v>11</v>
      </c>
      <c r="F14" s="127">
        <v>6</v>
      </c>
      <c r="G14" s="62" t="s">
        <v>357</v>
      </c>
      <c r="H14" s="130">
        <v>4</v>
      </c>
      <c r="I14" s="127">
        <v>20</v>
      </c>
      <c r="J14" s="62" t="s">
        <v>185</v>
      </c>
      <c r="K14" s="130" t="s">
        <v>185</v>
      </c>
      <c r="L14" s="127">
        <v>20</v>
      </c>
      <c r="M14" s="62" t="s">
        <v>185</v>
      </c>
      <c r="N14" s="130" t="s">
        <v>185</v>
      </c>
      <c r="O14" s="127"/>
      <c r="P14" s="62"/>
      <c r="Q14" s="63"/>
      <c r="R14" s="127"/>
      <c r="S14" s="130"/>
      <c r="T14" s="130"/>
      <c r="U14" s="127"/>
      <c r="V14" s="62"/>
      <c r="W14" s="63"/>
      <c r="X14" s="128">
        <v>46</v>
      </c>
      <c r="Y14" s="286">
        <v>9900</v>
      </c>
    </row>
    <row r="15" spans="1:26" x14ac:dyDescent="0.3">
      <c r="A15" s="22"/>
      <c r="B15" s="322"/>
      <c r="C15" s="21"/>
      <c r="D15" s="20"/>
      <c r="E15" s="20"/>
      <c r="F15" s="54"/>
      <c r="G15" s="60"/>
      <c r="H15" s="61"/>
      <c r="I15" s="54"/>
      <c r="J15" s="60"/>
      <c r="K15" s="61"/>
      <c r="L15" s="54"/>
      <c r="M15" s="60"/>
      <c r="N15" s="61"/>
      <c r="O15" s="54"/>
      <c r="P15" s="60"/>
      <c r="Q15" s="61"/>
      <c r="R15" s="54"/>
      <c r="S15" s="61"/>
      <c r="T15" s="61"/>
      <c r="U15" s="54"/>
      <c r="V15" s="60"/>
      <c r="W15" s="61"/>
      <c r="X15" s="54"/>
      <c r="Y15" s="59"/>
    </row>
    <row r="16" spans="1:26" x14ac:dyDescent="0.3">
      <c r="B16" s="272"/>
      <c r="Z16" s="61"/>
    </row>
    <row r="17" spans="2:2" x14ac:dyDescent="0.3">
      <c r="B17" s="272"/>
    </row>
    <row r="18" spans="2:2" ht="15" customHeight="1" x14ac:dyDescent="0.3">
      <c r="B18" s="272"/>
    </row>
    <row r="19" spans="2:2" ht="15" customHeight="1" x14ac:dyDescent="0.3">
      <c r="B19" s="272"/>
    </row>
    <row r="20" spans="2:2" x14ac:dyDescent="0.3">
      <c r="B20" s="272"/>
    </row>
    <row r="21" spans="2:2" x14ac:dyDescent="0.3">
      <c r="B21" s="272"/>
    </row>
    <row r="22" spans="2:2" x14ac:dyDescent="0.3">
      <c r="B22" s="272"/>
    </row>
    <row r="23" spans="2:2" x14ac:dyDescent="0.3">
      <c r="B23" s="272"/>
    </row>
    <row r="24" spans="2:2" x14ac:dyDescent="0.3">
      <c r="B24" s="272"/>
    </row>
    <row r="25" spans="2:2" x14ac:dyDescent="0.3">
      <c r="B25" s="272"/>
    </row>
    <row r="26" spans="2:2" x14ac:dyDescent="0.3">
      <c r="B26" s="272"/>
    </row>
    <row r="27" spans="2:2" x14ac:dyDescent="0.3">
      <c r="B27" s="272"/>
    </row>
    <row r="28" spans="2:2" x14ac:dyDescent="0.3">
      <c r="B28" s="272"/>
    </row>
    <row r="29" spans="2:2" x14ac:dyDescent="0.3">
      <c r="B29" s="272"/>
    </row>
    <row r="30" spans="2:2" x14ac:dyDescent="0.3">
      <c r="B30" s="272"/>
    </row>
    <row r="31" spans="2:2" x14ac:dyDescent="0.3">
      <c r="B31" s="272"/>
    </row>
    <row r="32" spans="2:2" x14ac:dyDescent="0.3">
      <c r="B32" s="272"/>
    </row>
    <row r="33" spans="2:2" x14ac:dyDescent="0.3">
      <c r="B33" s="272"/>
    </row>
    <row r="34" spans="2:2" x14ac:dyDescent="0.3">
      <c r="B34" s="272"/>
    </row>
    <row r="35" spans="2:2" x14ac:dyDescent="0.3">
      <c r="B35" s="272"/>
    </row>
    <row r="36" spans="2:2" x14ac:dyDescent="0.3">
      <c r="B36" s="272"/>
    </row>
    <row r="37" spans="2:2" x14ac:dyDescent="0.3">
      <c r="B37" s="272"/>
    </row>
    <row r="38" spans="2:2" x14ac:dyDescent="0.3">
      <c r="B38" s="272"/>
    </row>
    <row r="39" spans="2:2" x14ac:dyDescent="0.3">
      <c r="B39" s="272"/>
    </row>
    <row r="40" spans="2:2" x14ac:dyDescent="0.3">
      <c r="B40" s="272"/>
    </row>
    <row r="41" spans="2:2" x14ac:dyDescent="0.3">
      <c r="B41" s="272"/>
    </row>
    <row r="42" spans="2:2" x14ac:dyDescent="0.3">
      <c r="B42" s="272"/>
    </row>
    <row r="43" spans="2:2" x14ac:dyDescent="0.3">
      <c r="B43" s="272"/>
    </row>
    <row r="44" spans="2:2" x14ac:dyDescent="0.3">
      <c r="B44" s="272"/>
    </row>
    <row r="45" spans="2:2" x14ac:dyDescent="0.3">
      <c r="B45" s="272"/>
    </row>
    <row r="46" spans="2:2" x14ac:dyDescent="0.3">
      <c r="B46" s="272"/>
    </row>
    <row r="47" spans="2:2" x14ac:dyDescent="0.3">
      <c r="B47" s="272"/>
    </row>
    <row r="48" spans="2:2" x14ac:dyDescent="0.3">
      <c r="B48" s="272"/>
    </row>
    <row r="49" spans="2:2" x14ac:dyDescent="0.3">
      <c r="B49" s="272"/>
    </row>
    <row r="50" spans="2:2" x14ac:dyDescent="0.3">
      <c r="B50" s="272"/>
    </row>
    <row r="51" spans="2:2" x14ac:dyDescent="0.3">
      <c r="B51" s="272"/>
    </row>
    <row r="52" spans="2:2" x14ac:dyDescent="0.3">
      <c r="B52" s="272"/>
    </row>
    <row r="53" spans="2:2" x14ac:dyDescent="0.3">
      <c r="B53" s="272"/>
    </row>
    <row r="54" spans="2:2" x14ac:dyDescent="0.3">
      <c r="B54" s="272"/>
    </row>
    <row r="55" spans="2:2" x14ac:dyDescent="0.3">
      <c r="B55" s="272"/>
    </row>
    <row r="56" spans="2:2" x14ac:dyDescent="0.3">
      <c r="B56" s="272"/>
    </row>
    <row r="57" spans="2:2" x14ac:dyDescent="0.3">
      <c r="B57" s="272"/>
    </row>
    <row r="58" spans="2:2" x14ac:dyDescent="0.3">
      <c r="B58" s="272"/>
    </row>
    <row r="59" spans="2:2" x14ac:dyDescent="0.3">
      <c r="B59" s="272"/>
    </row>
    <row r="60" spans="2:2" x14ac:dyDescent="0.3">
      <c r="B60" s="272"/>
    </row>
    <row r="61" spans="2:2" x14ac:dyDescent="0.3">
      <c r="B61" s="272"/>
    </row>
    <row r="62" spans="2:2" x14ac:dyDescent="0.3">
      <c r="B62" s="272"/>
    </row>
    <row r="63" spans="2:2" x14ac:dyDescent="0.3">
      <c r="B63" s="272"/>
    </row>
    <row r="64" spans="2:2" x14ac:dyDescent="0.3">
      <c r="B64" s="272"/>
    </row>
    <row r="65" spans="2:2" x14ac:dyDescent="0.3">
      <c r="B65" s="272"/>
    </row>
    <row r="66" spans="2:2" x14ac:dyDescent="0.3">
      <c r="B66" s="272"/>
    </row>
    <row r="67" spans="2:2" x14ac:dyDescent="0.3">
      <c r="B67" s="272"/>
    </row>
    <row r="68" spans="2:2" x14ac:dyDescent="0.3">
      <c r="B68" s="272"/>
    </row>
    <row r="69" spans="2:2" x14ac:dyDescent="0.3">
      <c r="B69" s="272"/>
    </row>
    <row r="70" spans="2:2" x14ac:dyDescent="0.3">
      <c r="B70" s="272"/>
    </row>
    <row r="71" spans="2:2" x14ac:dyDescent="0.3">
      <c r="B71" s="272"/>
    </row>
    <row r="72" spans="2:2" x14ac:dyDescent="0.3">
      <c r="B72" s="272"/>
    </row>
    <row r="73" spans="2:2" x14ac:dyDescent="0.3">
      <c r="B73" s="272"/>
    </row>
    <row r="74" spans="2:2" x14ac:dyDescent="0.3">
      <c r="B74" s="272"/>
    </row>
    <row r="75" spans="2:2" x14ac:dyDescent="0.3">
      <c r="B75" s="272"/>
    </row>
    <row r="76" spans="2:2" x14ac:dyDescent="0.3">
      <c r="B76" s="272"/>
    </row>
    <row r="77" spans="2:2" x14ac:dyDescent="0.3">
      <c r="B77" s="272"/>
    </row>
    <row r="78" spans="2:2" x14ac:dyDescent="0.3">
      <c r="B78" s="272"/>
    </row>
    <row r="79" spans="2:2" x14ac:dyDescent="0.3">
      <c r="B79" s="272"/>
    </row>
    <row r="80" spans="2:2" x14ac:dyDescent="0.3">
      <c r="B80" s="272"/>
    </row>
    <row r="81" spans="2:2" x14ac:dyDescent="0.3">
      <c r="B81" s="272"/>
    </row>
    <row r="82" spans="2:2" x14ac:dyDescent="0.3">
      <c r="B82" s="272"/>
    </row>
    <row r="83" spans="2:2" x14ac:dyDescent="0.3">
      <c r="B83" s="272"/>
    </row>
    <row r="84" spans="2:2" x14ac:dyDescent="0.3">
      <c r="B84" s="272"/>
    </row>
    <row r="85" spans="2:2" x14ac:dyDescent="0.3">
      <c r="B85" s="272"/>
    </row>
    <row r="86" spans="2:2" x14ac:dyDescent="0.3">
      <c r="B86" s="272"/>
    </row>
    <row r="87" spans="2:2" x14ac:dyDescent="0.3">
      <c r="B87" s="272"/>
    </row>
    <row r="88" spans="2:2" x14ac:dyDescent="0.3">
      <c r="B88" s="272"/>
    </row>
    <row r="89" spans="2:2" x14ac:dyDescent="0.3">
      <c r="B89" s="272"/>
    </row>
    <row r="90" spans="2:2" x14ac:dyDescent="0.3">
      <c r="B90" s="272"/>
    </row>
    <row r="91" spans="2:2" x14ac:dyDescent="0.3">
      <c r="B91" s="272"/>
    </row>
    <row r="92" spans="2:2" x14ac:dyDescent="0.3">
      <c r="B92" s="272"/>
    </row>
    <row r="93" spans="2:2" x14ac:dyDescent="0.3">
      <c r="B93" s="272"/>
    </row>
    <row r="94" spans="2:2" x14ac:dyDescent="0.3">
      <c r="B94" s="272"/>
    </row>
    <row r="95" spans="2:2" x14ac:dyDescent="0.3">
      <c r="B95" s="272"/>
    </row>
    <row r="96" spans="2:2" x14ac:dyDescent="0.3">
      <c r="B96" s="272"/>
    </row>
    <row r="97" spans="2:2" x14ac:dyDescent="0.3">
      <c r="B97" s="272"/>
    </row>
    <row r="98" spans="2:2" x14ac:dyDescent="0.3">
      <c r="B98" s="272"/>
    </row>
    <row r="99" spans="2:2" x14ac:dyDescent="0.3">
      <c r="B99" s="272"/>
    </row>
    <row r="100" spans="2:2" x14ac:dyDescent="0.3">
      <c r="B100" s="272"/>
    </row>
    <row r="101" spans="2:2" x14ac:dyDescent="0.3">
      <c r="B101" s="272"/>
    </row>
    <row r="102" spans="2:2" x14ac:dyDescent="0.3">
      <c r="B102" s="272"/>
    </row>
    <row r="103" spans="2:2" x14ac:dyDescent="0.3">
      <c r="B103" s="272"/>
    </row>
    <row r="104" spans="2:2" x14ac:dyDescent="0.3">
      <c r="B104" s="272"/>
    </row>
    <row r="105" spans="2:2" x14ac:dyDescent="0.3">
      <c r="B105" s="272"/>
    </row>
    <row r="106" spans="2:2" x14ac:dyDescent="0.3">
      <c r="B106" s="272"/>
    </row>
    <row r="107" spans="2:2" x14ac:dyDescent="0.3">
      <c r="B107" s="272"/>
    </row>
    <row r="108" spans="2:2" x14ac:dyDescent="0.3">
      <c r="B108" s="272"/>
    </row>
    <row r="109" spans="2:2" x14ac:dyDescent="0.3">
      <c r="B109" s="272"/>
    </row>
    <row r="110" spans="2:2" x14ac:dyDescent="0.3">
      <c r="B110" s="272"/>
    </row>
    <row r="111" spans="2:2" x14ac:dyDescent="0.3">
      <c r="B111" s="272"/>
    </row>
    <row r="112" spans="2:2" x14ac:dyDescent="0.3">
      <c r="B112" s="272"/>
    </row>
    <row r="113" spans="2:2" x14ac:dyDescent="0.3">
      <c r="B113" s="272"/>
    </row>
    <row r="114" spans="2:2" x14ac:dyDescent="0.3">
      <c r="B114" s="272"/>
    </row>
    <row r="115" spans="2:2" x14ac:dyDescent="0.3">
      <c r="B115" s="272"/>
    </row>
    <row r="116" spans="2:2" x14ac:dyDescent="0.3">
      <c r="B116" s="272"/>
    </row>
    <row r="117" spans="2:2" x14ac:dyDescent="0.3">
      <c r="B117" s="272"/>
    </row>
    <row r="118" spans="2:2" x14ac:dyDescent="0.3">
      <c r="B118" s="272"/>
    </row>
    <row r="119" spans="2:2" x14ac:dyDescent="0.3">
      <c r="B119" s="272"/>
    </row>
    <row r="120" spans="2:2" x14ac:dyDescent="0.3">
      <c r="B120" s="272"/>
    </row>
    <row r="121" spans="2:2" x14ac:dyDescent="0.3">
      <c r="B121" s="272"/>
    </row>
    <row r="122" spans="2:2" x14ac:dyDescent="0.3">
      <c r="B122" s="272"/>
    </row>
    <row r="123" spans="2:2" x14ac:dyDescent="0.3">
      <c r="B123" s="272"/>
    </row>
    <row r="124" spans="2:2" x14ac:dyDescent="0.3">
      <c r="B124" s="272"/>
    </row>
    <row r="125" spans="2:2" x14ac:dyDescent="0.3">
      <c r="B125" s="272"/>
    </row>
    <row r="126" spans="2:2" x14ac:dyDescent="0.3">
      <c r="B126" s="272"/>
    </row>
    <row r="127" spans="2:2" x14ac:dyDescent="0.3">
      <c r="B127" s="272"/>
    </row>
    <row r="128" spans="2:2" x14ac:dyDescent="0.3">
      <c r="B128" s="272"/>
    </row>
    <row r="129" spans="2:2" x14ac:dyDescent="0.3">
      <c r="B129" s="272"/>
    </row>
    <row r="130" spans="2:2" x14ac:dyDescent="0.3">
      <c r="B130" s="272"/>
    </row>
    <row r="131" spans="2:2" x14ac:dyDescent="0.3">
      <c r="B131" s="272"/>
    </row>
    <row r="132" spans="2:2" x14ac:dyDescent="0.3">
      <c r="B132" s="272"/>
    </row>
    <row r="133" spans="2:2" x14ac:dyDescent="0.3">
      <c r="B133" s="272"/>
    </row>
    <row r="134" spans="2:2" x14ac:dyDescent="0.3">
      <c r="B134" s="272"/>
    </row>
    <row r="135" spans="2:2" x14ac:dyDescent="0.3">
      <c r="B135" s="272"/>
    </row>
    <row r="136" spans="2:2" x14ac:dyDescent="0.3">
      <c r="B136" s="272"/>
    </row>
    <row r="137" spans="2:2" x14ac:dyDescent="0.3">
      <c r="B137" s="272"/>
    </row>
    <row r="138" spans="2:2" x14ac:dyDescent="0.3">
      <c r="B138" s="272"/>
    </row>
    <row r="139" spans="2:2" x14ac:dyDescent="0.3">
      <c r="B139" s="272"/>
    </row>
    <row r="140" spans="2:2" x14ac:dyDescent="0.3">
      <c r="B140" s="272"/>
    </row>
    <row r="141" spans="2:2" x14ac:dyDescent="0.3">
      <c r="B141" s="272"/>
    </row>
    <row r="142" spans="2:2" x14ac:dyDescent="0.3">
      <c r="B142" s="272"/>
    </row>
    <row r="143" spans="2:2" x14ac:dyDescent="0.3">
      <c r="B143" s="272"/>
    </row>
    <row r="144" spans="2:2" x14ac:dyDescent="0.3">
      <c r="B144" s="272"/>
    </row>
    <row r="145" spans="2:2" x14ac:dyDescent="0.3">
      <c r="B145" s="272"/>
    </row>
    <row r="146" spans="2:2" x14ac:dyDescent="0.3">
      <c r="B146" s="272"/>
    </row>
    <row r="147" spans="2:2" x14ac:dyDescent="0.3">
      <c r="B147" s="272"/>
    </row>
    <row r="148" spans="2:2" x14ac:dyDescent="0.3">
      <c r="B148" s="272"/>
    </row>
    <row r="149" spans="2:2" x14ac:dyDescent="0.3">
      <c r="B149" s="272"/>
    </row>
    <row r="150" spans="2:2" x14ac:dyDescent="0.3">
      <c r="B150" s="272"/>
    </row>
    <row r="151" spans="2:2" x14ac:dyDescent="0.3">
      <c r="B151" s="272"/>
    </row>
    <row r="152" spans="2:2" x14ac:dyDescent="0.3">
      <c r="B152" s="272"/>
    </row>
    <row r="153" spans="2:2" x14ac:dyDescent="0.3">
      <c r="B153" s="272"/>
    </row>
    <row r="154" spans="2:2" x14ac:dyDescent="0.3">
      <c r="B154" s="272"/>
    </row>
    <row r="155" spans="2:2" x14ac:dyDescent="0.3">
      <c r="B155" s="272"/>
    </row>
    <row r="156" spans="2:2" x14ac:dyDescent="0.3">
      <c r="B156" s="272"/>
    </row>
    <row r="157" spans="2:2" x14ac:dyDescent="0.3">
      <c r="B157" s="272"/>
    </row>
    <row r="158" spans="2:2" x14ac:dyDescent="0.3">
      <c r="B158" s="272"/>
    </row>
    <row r="159" spans="2:2" x14ac:dyDescent="0.3">
      <c r="B159" s="272"/>
    </row>
    <row r="160" spans="2:2" x14ac:dyDescent="0.3">
      <c r="B160" s="272"/>
    </row>
    <row r="161" spans="2:2" x14ac:dyDescent="0.3">
      <c r="B161" s="272"/>
    </row>
    <row r="162" spans="2:2" x14ac:dyDescent="0.3">
      <c r="B162" s="272"/>
    </row>
    <row r="163" spans="2:2" x14ac:dyDescent="0.3">
      <c r="B163" s="272"/>
    </row>
    <row r="164" spans="2:2" x14ac:dyDescent="0.3">
      <c r="B164" s="272"/>
    </row>
    <row r="165" spans="2:2" x14ac:dyDescent="0.3">
      <c r="B165" s="272"/>
    </row>
    <row r="166" spans="2:2" x14ac:dyDescent="0.3">
      <c r="B166" s="272"/>
    </row>
    <row r="167" spans="2:2" x14ac:dyDescent="0.3">
      <c r="B167" s="272"/>
    </row>
    <row r="168" spans="2:2" x14ac:dyDescent="0.3">
      <c r="B168" s="272"/>
    </row>
    <row r="169" spans="2:2" x14ac:dyDescent="0.3">
      <c r="B169" s="272"/>
    </row>
    <row r="170" spans="2:2" x14ac:dyDescent="0.3">
      <c r="B170" s="272"/>
    </row>
    <row r="171" spans="2:2" x14ac:dyDescent="0.3">
      <c r="B171" s="272"/>
    </row>
    <row r="172" spans="2:2" x14ac:dyDescent="0.3">
      <c r="B172" s="272"/>
    </row>
    <row r="173" spans="2:2" x14ac:dyDescent="0.3">
      <c r="B173" s="272"/>
    </row>
    <row r="174" spans="2:2" x14ac:dyDescent="0.3">
      <c r="B174" s="272"/>
    </row>
    <row r="175" spans="2:2" x14ac:dyDescent="0.3">
      <c r="B175" s="272"/>
    </row>
    <row r="176" spans="2:2" x14ac:dyDescent="0.3">
      <c r="B176" s="272"/>
    </row>
    <row r="177" spans="2:2" x14ac:dyDescent="0.3">
      <c r="B177" s="272"/>
    </row>
    <row r="178" spans="2:2" x14ac:dyDescent="0.3">
      <c r="B178" s="272"/>
    </row>
    <row r="179" spans="2:2" x14ac:dyDescent="0.3">
      <c r="B179" s="272"/>
    </row>
    <row r="180" spans="2:2" x14ac:dyDescent="0.3">
      <c r="B180" s="272"/>
    </row>
    <row r="181" spans="2:2" x14ac:dyDescent="0.3">
      <c r="B181" s="272"/>
    </row>
    <row r="182" spans="2:2" x14ac:dyDescent="0.3">
      <c r="B182" s="272"/>
    </row>
    <row r="183" spans="2:2" x14ac:dyDescent="0.3">
      <c r="B183" s="272"/>
    </row>
    <row r="184" spans="2:2" x14ac:dyDescent="0.3">
      <c r="B184" s="272"/>
    </row>
    <row r="185" spans="2:2" x14ac:dyDescent="0.3">
      <c r="B185" s="272"/>
    </row>
    <row r="186" spans="2:2" x14ac:dyDescent="0.3">
      <c r="B186" s="272"/>
    </row>
    <row r="187" spans="2:2" x14ac:dyDescent="0.3">
      <c r="B187" s="272"/>
    </row>
    <row r="188" spans="2:2" x14ac:dyDescent="0.3">
      <c r="B188" s="272"/>
    </row>
    <row r="189" spans="2:2" x14ac:dyDescent="0.3">
      <c r="B189" s="272"/>
    </row>
    <row r="190" spans="2:2" x14ac:dyDescent="0.3">
      <c r="B190" s="272"/>
    </row>
    <row r="191" spans="2:2" x14ac:dyDescent="0.3">
      <c r="B191" s="272"/>
    </row>
    <row r="192" spans="2:2" x14ac:dyDescent="0.3">
      <c r="B192" s="272"/>
    </row>
    <row r="193" spans="2:2" x14ac:dyDescent="0.3">
      <c r="B193" s="272"/>
    </row>
    <row r="194" spans="2:2" x14ac:dyDescent="0.3">
      <c r="B194" s="272"/>
    </row>
    <row r="195" spans="2:2" x14ac:dyDescent="0.3">
      <c r="B195" s="272"/>
    </row>
    <row r="196" spans="2:2" x14ac:dyDescent="0.3">
      <c r="B196" s="272"/>
    </row>
    <row r="197" spans="2:2" x14ac:dyDescent="0.3">
      <c r="B197" s="272"/>
    </row>
    <row r="198" spans="2:2" x14ac:dyDescent="0.3">
      <c r="B198" s="272"/>
    </row>
  </sheetData>
  <sortState xmlns:xlrd2="http://schemas.microsoft.com/office/spreadsheetml/2017/richdata2" ref="A7:Y198">
    <sortCondition ref="X7:X198"/>
    <sortCondition descending="1" ref="Y7:Y198"/>
  </sortState>
  <mergeCells count="20">
    <mergeCell ref="I1:L1"/>
    <mergeCell ref="F5:H5"/>
    <mergeCell ref="G6:H6"/>
    <mergeCell ref="A5:A6"/>
    <mergeCell ref="B5:B6"/>
    <mergeCell ref="C5:C6"/>
    <mergeCell ref="D5:D6"/>
    <mergeCell ref="E5:E6"/>
    <mergeCell ref="I5:K5"/>
    <mergeCell ref="J6:K6"/>
    <mergeCell ref="L5:N5"/>
    <mergeCell ref="M6:N6"/>
    <mergeCell ref="A1:C2"/>
    <mergeCell ref="O5:Q5"/>
    <mergeCell ref="P6:Q6"/>
    <mergeCell ref="U5:W5"/>
    <mergeCell ref="V6:W6"/>
    <mergeCell ref="X5:Y5"/>
    <mergeCell ref="R5:T5"/>
    <mergeCell ref="S6:T6"/>
  </mergeCells>
  <conditionalFormatting sqref="F7:F14">
    <cfRule type="cellIs" dxfId="12" priority="13" operator="equal">
      <formula>20</formula>
    </cfRule>
  </conditionalFormatting>
  <conditionalFormatting sqref="G7:H14">
    <cfRule type="cellIs" dxfId="11" priority="12" operator="equal">
      <formula>"-"</formula>
    </cfRule>
  </conditionalFormatting>
  <conditionalFormatting sqref="I7:I14">
    <cfRule type="cellIs" dxfId="10" priority="11" operator="equal">
      <formula>20</formula>
    </cfRule>
  </conditionalFormatting>
  <conditionalFormatting sqref="J7:K14">
    <cfRule type="cellIs" dxfId="9" priority="10" operator="equal">
      <formula>"-"</formula>
    </cfRule>
  </conditionalFormatting>
  <conditionalFormatting sqref="L7:L14">
    <cfRule type="cellIs" dxfId="8" priority="9" operator="equal">
      <formula>20</formula>
    </cfRule>
  </conditionalFormatting>
  <conditionalFormatting sqref="M7:N14">
    <cfRule type="cellIs" dxfId="7" priority="8" operator="equal">
      <formula>"-"</formula>
    </cfRule>
  </conditionalFormatting>
  <conditionalFormatting sqref="O7:O14">
    <cfRule type="cellIs" dxfId="6" priority="7" operator="equal">
      <formula>20</formula>
    </cfRule>
  </conditionalFormatting>
  <conditionalFormatting sqref="P7:Q14">
    <cfRule type="cellIs" dxfId="5" priority="6" operator="equal">
      <formula>"-"</formula>
    </cfRule>
  </conditionalFormatting>
  <conditionalFormatting sqref="R7:R14">
    <cfRule type="cellIs" dxfId="4" priority="5" operator="equal">
      <formula>20</formula>
    </cfRule>
  </conditionalFormatting>
  <conditionalFormatting sqref="S7:T14">
    <cfRule type="cellIs" dxfId="3" priority="4" operator="equal">
      <formula>"-"</formula>
    </cfRule>
  </conditionalFormatting>
  <conditionalFormatting sqref="U7:U14">
    <cfRule type="cellIs" dxfId="2" priority="3" operator="equal">
      <formula>20</formula>
    </cfRule>
  </conditionalFormatting>
  <conditionalFormatting sqref="V7:W14">
    <cfRule type="cellIs" dxfId="1" priority="2" operator="equal">
      <formula>"-"</formula>
    </cfRule>
  </conditionalFormatting>
  <conditionalFormatting sqref="Y7:Y14">
    <cfRule type="cellIs" dxfId="0" priority="1" operator="equal">
      <formula>0</formula>
    </cfRule>
  </conditionalFormatting>
  <dataValidations count="2">
    <dataValidation type="list" allowBlank="1" showInputMessage="1" showErrorMessage="1" errorTitle="Hiba!" error="Válassz a legördülő listából!" sqref="E7:E14" xr:uid="{1D85C90D-8EAF-4932-A155-E9825D0D45F0}">
      <formula1>"felnőtt,női,ifjúsági,gyermek"</formula1>
    </dataValidation>
    <dataValidation type="list" allowBlank="1" showInputMessage="1" showErrorMessage="1" errorTitle="Hiba!" error="Válassz a legördülő listából!" sqref="D7:D14" xr:uid="{4A20B236-9E61-41B5-A2E7-A7BF9AD9D86C}">
      <formula1>"feeder,method feeder,úszós,gy"</formula1>
    </dataValidation>
  </dataValidations>
  <printOptions horizontalCentered="1"/>
  <pageMargins left="0.27559055118110237" right="0.27559055118110237" top="0.59055118110236227" bottom="0.39370078740157483" header="0.35" footer="0.23622047244094491"/>
  <pageSetup paperSize="9" scale="92" fitToHeight="0" orientation="landscape" r:id="rId1"/>
  <headerFooter>
    <oddHeader>&amp;R&amp;"-,Dőlt"&amp;P. oldal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Button 1">
              <controlPr defaultSize="0" print="0" autoFill="0" autoPict="0" macro="[0]!Makró1_Összesen_Feedernagy">
                <anchor>
                  <from>
                    <xdr:col>1</xdr:col>
                    <xdr:colOff>601980</xdr:colOff>
                    <xdr:row>2</xdr:row>
                    <xdr:rowOff>30480</xdr:rowOff>
                  </from>
                  <to>
                    <xdr:col>2</xdr:col>
                    <xdr:colOff>106680</xdr:colOff>
                    <xdr:row>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Button 2">
              <controlPr defaultSize="0" print="0" autoFill="0" autoPict="0" macro="[0]!Makró_1_Összesen_Úszós">
                <anchor>
                  <from>
                    <xdr:col>2</xdr:col>
                    <xdr:colOff>182880</xdr:colOff>
                    <xdr:row>2</xdr:row>
                    <xdr:rowOff>22860</xdr:rowOff>
                  </from>
                  <to>
                    <xdr:col>2</xdr:col>
                    <xdr:colOff>906780</xdr:colOff>
                    <xdr:row>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Button 3">
              <controlPr defaultSize="0" print="0" autoFill="0" autoPict="0" macro="[0]!Makró_1_Összesen_noi">
                <anchor>
                  <from>
                    <xdr:col>2</xdr:col>
                    <xdr:colOff>982980</xdr:colOff>
                    <xdr:row>2</xdr:row>
                    <xdr:rowOff>22860</xdr:rowOff>
                  </from>
                  <to>
                    <xdr:col>3</xdr:col>
                    <xdr:colOff>373380</xdr:colOff>
                    <xdr:row>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Button 4">
              <controlPr defaultSize="0" print="0" autoFill="0" autoPict="0" macro="[0]!Makró_1_Összesen_Ifjúsági">
                <anchor>
                  <from>
                    <xdr:col>3</xdr:col>
                    <xdr:colOff>449580</xdr:colOff>
                    <xdr:row>2</xdr:row>
                    <xdr:rowOff>22860</xdr:rowOff>
                  </from>
                  <to>
                    <xdr:col>4</xdr:col>
                    <xdr:colOff>137160</xdr:colOff>
                    <xdr:row>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Button 5">
              <controlPr defaultSize="0" print="0" autoFill="0" autoPict="0" macro="[0]!Makró_1_Összesen_Gyermek">
                <anchor>
                  <from>
                    <xdr:col>4</xdr:col>
                    <xdr:colOff>213360</xdr:colOff>
                    <xdr:row>2</xdr:row>
                    <xdr:rowOff>22860</xdr:rowOff>
                  </from>
                  <to>
                    <xdr:col>6</xdr:col>
                    <xdr:colOff>0</xdr:colOff>
                    <xdr:row>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9" name="Button 7">
              <controlPr defaultSize="0" print="0" autoFill="0" autoPict="0" macro="[0]!Makró1_Összesen_Feederkis">
                <anchor>
                  <from>
                    <xdr:col>0</xdr:col>
                    <xdr:colOff>175260</xdr:colOff>
                    <xdr:row>2</xdr:row>
                    <xdr:rowOff>30480</xdr:rowOff>
                  </from>
                  <to>
                    <xdr:col>1</xdr:col>
                    <xdr:colOff>525780</xdr:colOff>
                    <xdr:row>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10" name="Button 8">
              <controlPr defaultSize="0" print="0" autoFill="0" autoPict="0" macro="[0]!Makró_1_Összesen_Kulf">
                <anchor>
                  <from>
                    <xdr:col>6</xdr:col>
                    <xdr:colOff>76200</xdr:colOff>
                    <xdr:row>2</xdr:row>
                    <xdr:rowOff>22860</xdr:rowOff>
                  </from>
                  <to>
                    <xdr:col>9</xdr:col>
                    <xdr:colOff>83820</xdr:colOff>
                    <xdr:row>3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8">
    <tabColor rgb="FF92D050"/>
  </sheetPr>
  <dimension ref="A1:Q200"/>
  <sheetViews>
    <sheetView showGridLines="0" topLeftCell="A10" workbookViewId="0">
      <selection activeCell="A4" sqref="A4"/>
    </sheetView>
  </sheetViews>
  <sheetFormatPr defaultRowHeight="14.4" x14ac:dyDescent="0.3"/>
  <cols>
    <col min="1" max="1" width="3.88671875" style="126" customWidth="1"/>
    <col min="2" max="2" width="4.88671875" customWidth="1"/>
    <col min="3" max="3" width="24.88671875" customWidth="1"/>
    <col min="4" max="4" width="19.88671875" customWidth="1"/>
    <col min="5" max="5" width="14.6640625" customWidth="1"/>
    <col min="7" max="7" width="8.44140625" customWidth="1"/>
    <col min="8" max="8" width="8.33203125" customWidth="1"/>
    <col min="9" max="14" width="4.6640625" customWidth="1"/>
    <col min="15" max="15" width="6.44140625" customWidth="1"/>
  </cols>
  <sheetData>
    <row r="1" spans="1:17" ht="32.25" customHeight="1" thickTop="1" x14ac:dyDescent="0.3">
      <c r="A1" s="373"/>
      <c r="B1" s="374"/>
      <c r="C1" s="374"/>
      <c r="D1" s="374"/>
      <c r="E1" s="374"/>
      <c r="F1" s="374"/>
      <c r="G1" s="78"/>
      <c r="H1" s="78"/>
      <c r="I1" s="78"/>
      <c r="J1" s="78"/>
      <c r="K1" s="78"/>
      <c r="L1" s="78"/>
      <c r="M1" s="78"/>
      <c r="N1" s="80"/>
      <c r="O1" s="296"/>
      <c r="P1" s="297"/>
    </row>
    <row r="2" spans="1:17" ht="99" customHeight="1" x14ac:dyDescent="0.3">
      <c r="A2" s="375" t="s">
        <v>208</v>
      </c>
      <c r="B2" s="376"/>
      <c r="C2" s="376"/>
      <c r="D2" s="376"/>
      <c r="E2" s="376"/>
      <c r="F2" s="132"/>
      <c r="G2" s="30"/>
      <c r="H2" s="131"/>
      <c r="I2" s="29"/>
      <c r="J2" s="29"/>
      <c r="K2" s="29"/>
      <c r="L2" s="29"/>
      <c r="M2" s="100"/>
      <c r="N2" s="81"/>
      <c r="O2" s="81" t="s">
        <v>348</v>
      </c>
      <c r="P2" s="299">
        <f>COUNTIF(E7:E200,"method feeder")</f>
        <v>57</v>
      </c>
    </row>
    <row r="3" spans="1:17" ht="5.25" customHeight="1" thickBot="1" x14ac:dyDescent="0.35">
      <c r="A3" s="318"/>
      <c r="B3" s="74"/>
      <c r="C3" s="77"/>
      <c r="D3" s="76"/>
      <c r="E3" s="75"/>
      <c r="F3" s="74"/>
      <c r="G3" s="74"/>
      <c r="H3" s="74"/>
      <c r="I3" s="74"/>
      <c r="J3" s="74"/>
      <c r="K3" s="74"/>
      <c r="L3" s="74"/>
      <c r="M3" s="74"/>
      <c r="N3" s="74"/>
      <c r="O3" s="74"/>
      <c r="P3" s="298"/>
    </row>
    <row r="4" spans="1:17" ht="6" customHeight="1" thickTop="1" x14ac:dyDescent="0.3"/>
    <row r="5" spans="1:17" ht="15.75" customHeight="1" x14ac:dyDescent="0.3">
      <c r="A5" s="360" t="s">
        <v>210</v>
      </c>
      <c r="B5" s="360" t="s">
        <v>0</v>
      </c>
      <c r="C5" s="360" t="s">
        <v>1</v>
      </c>
      <c r="D5" s="360" t="s">
        <v>209</v>
      </c>
      <c r="E5" s="362" t="s">
        <v>4</v>
      </c>
      <c r="F5" s="362" t="s">
        <v>3</v>
      </c>
      <c r="G5" s="379" t="s">
        <v>79</v>
      </c>
      <c r="H5" s="365" t="s">
        <v>78</v>
      </c>
      <c r="I5" s="367" t="s">
        <v>77</v>
      </c>
      <c r="J5" s="368"/>
      <c r="K5" s="368"/>
      <c r="L5" s="368"/>
      <c r="M5" s="368"/>
      <c r="N5" s="369"/>
      <c r="O5" s="369" t="s">
        <v>211</v>
      </c>
      <c r="P5" s="371" t="s">
        <v>76</v>
      </c>
    </row>
    <row r="6" spans="1:17" ht="16.5" customHeight="1" x14ac:dyDescent="0.3">
      <c r="A6" s="377"/>
      <c r="B6" s="377"/>
      <c r="C6" s="377"/>
      <c r="D6" s="377"/>
      <c r="E6" s="378"/>
      <c r="F6" s="378"/>
      <c r="G6" s="365"/>
      <c r="H6" s="366"/>
      <c r="I6" s="314" t="s">
        <v>86</v>
      </c>
      <c r="J6" s="314" t="s">
        <v>87</v>
      </c>
      <c r="K6" s="314" t="s">
        <v>88</v>
      </c>
      <c r="L6" s="314" t="s">
        <v>30</v>
      </c>
      <c r="M6" s="315" t="s">
        <v>29</v>
      </c>
      <c r="N6" s="315" t="s">
        <v>28</v>
      </c>
      <c r="O6" s="370"/>
      <c r="P6" s="372"/>
      <c r="Q6" s="82"/>
    </row>
    <row r="7" spans="1:17" ht="18" customHeight="1" x14ac:dyDescent="0.3">
      <c r="A7" s="319">
        <v>1</v>
      </c>
      <c r="B7" s="68">
        <v>57</v>
      </c>
      <c r="C7" s="141" t="s">
        <v>247</v>
      </c>
      <c r="D7" s="141" t="s">
        <v>248</v>
      </c>
      <c r="E7" s="143" t="s">
        <v>116</v>
      </c>
      <c r="F7" s="142" t="s">
        <v>103</v>
      </c>
      <c r="G7" s="295">
        <v>1</v>
      </c>
      <c r="H7" s="320">
        <v>45840</v>
      </c>
      <c r="I7" s="321">
        <v>1</v>
      </c>
      <c r="J7" s="321">
        <v>20</v>
      </c>
      <c r="K7" s="321"/>
      <c r="L7" s="321"/>
      <c r="M7" s="321"/>
      <c r="N7" s="321"/>
      <c r="O7" s="295">
        <v>20</v>
      </c>
      <c r="P7" s="317" t="s">
        <v>347</v>
      </c>
    </row>
    <row r="8" spans="1:17" ht="18" customHeight="1" x14ac:dyDescent="0.3">
      <c r="A8" s="319">
        <v>2</v>
      </c>
      <c r="B8" s="68">
        <v>93</v>
      </c>
      <c r="C8" s="141" t="s">
        <v>303</v>
      </c>
      <c r="D8" s="250" t="s">
        <v>304</v>
      </c>
      <c r="E8" s="143" t="s">
        <v>116</v>
      </c>
      <c r="F8" s="142" t="s">
        <v>103</v>
      </c>
      <c r="G8" s="295">
        <v>1</v>
      </c>
      <c r="H8" s="320">
        <v>37720</v>
      </c>
      <c r="I8" s="321">
        <v>1</v>
      </c>
      <c r="J8" s="321">
        <v>20</v>
      </c>
      <c r="K8" s="321"/>
      <c r="L8" s="321"/>
      <c r="M8" s="321"/>
      <c r="N8" s="321"/>
      <c r="O8" s="295">
        <v>20</v>
      </c>
      <c r="P8" s="317" t="s">
        <v>347</v>
      </c>
    </row>
    <row r="9" spans="1:17" ht="18" customHeight="1" x14ac:dyDescent="0.3">
      <c r="A9" s="319">
        <v>3</v>
      </c>
      <c r="B9" s="68">
        <v>60</v>
      </c>
      <c r="C9" s="250" t="s">
        <v>253</v>
      </c>
      <c r="D9" s="141" t="s">
        <v>169</v>
      </c>
      <c r="E9" s="143" t="s">
        <v>116</v>
      </c>
      <c r="F9" s="142" t="s">
        <v>103</v>
      </c>
      <c r="G9" s="295">
        <v>1</v>
      </c>
      <c r="H9" s="320">
        <v>30420</v>
      </c>
      <c r="I9" s="321">
        <v>1</v>
      </c>
      <c r="J9" s="321">
        <v>20</v>
      </c>
      <c r="K9" s="321"/>
      <c r="L9" s="321"/>
      <c r="M9" s="321"/>
      <c r="N9" s="321"/>
      <c r="O9" s="295">
        <v>20</v>
      </c>
      <c r="P9" s="317" t="s">
        <v>347</v>
      </c>
    </row>
    <row r="10" spans="1:17" ht="18" customHeight="1" x14ac:dyDescent="0.3">
      <c r="A10" s="319">
        <v>4</v>
      </c>
      <c r="B10" s="68">
        <v>23</v>
      </c>
      <c r="C10" s="250" t="s">
        <v>165</v>
      </c>
      <c r="D10" s="250" t="s">
        <v>166</v>
      </c>
      <c r="E10" s="143" t="s">
        <v>116</v>
      </c>
      <c r="F10" s="142" t="s">
        <v>103</v>
      </c>
      <c r="G10" s="295">
        <v>1</v>
      </c>
      <c r="H10" s="320">
        <v>24600</v>
      </c>
      <c r="I10" s="321">
        <v>1</v>
      </c>
      <c r="J10" s="321">
        <v>20</v>
      </c>
      <c r="K10" s="321"/>
      <c r="L10" s="321"/>
      <c r="M10" s="321"/>
      <c r="N10" s="321"/>
      <c r="O10" s="295">
        <v>20</v>
      </c>
      <c r="P10" s="317" t="s">
        <v>347</v>
      </c>
    </row>
    <row r="11" spans="1:17" ht="18" customHeight="1" x14ac:dyDescent="0.3">
      <c r="A11" s="319">
        <v>5</v>
      </c>
      <c r="B11" s="68">
        <v>59</v>
      </c>
      <c r="C11" s="141" t="s">
        <v>251</v>
      </c>
      <c r="D11" s="250" t="s">
        <v>252</v>
      </c>
      <c r="E11" s="143" t="s">
        <v>116</v>
      </c>
      <c r="F11" s="142" t="s">
        <v>103</v>
      </c>
      <c r="G11" s="295">
        <v>1</v>
      </c>
      <c r="H11" s="320">
        <v>22070</v>
      </c>
      <c r="I11" s="321">
        <v>2</v>
      </c>
      <c r="J11" s="321">
        <v>20</v>
      </c>
      <c r="K11" s="321"/>
      <c r="L11" s="321"/>
      <c r="M11" s="321"/>
      <c r="N11" s="321"/>
      <c r="O11" s="295">
        <v>20</v>
      </c>
      <c r="P11" s="317" t="s">
        <v>347</v>
      </c>
    </row>
    <row r="12" spans="1:17" ht="18" customHeight="1" x14ac:dyDescent="0.3">
      <c r="A12" s="319">
        <v>6</v>
      </c>
      <c r="B12" s="68">
        <v>66</v>
      </c>
      <c r="C12" s="141" t="s">
        <v>261</v>
      </c>
      <c r="D12" s="141" t="s">
        <v>262</v>
      </c>
      <c r="E12" s="70" t="s">
        <v>116</v>
      </c>
      <c r="F12" s="142" t="s">
        <v>103</v>
      </c>
      <c r="G12" s="295">
        <v>1</v>
      </c>
      <c r="H12" s="320">
        <v>20870</v>
      </c>
      <c r="I12" s="321">
        <v>2</v>
      </c>
      <c r="J12" s="321">
        <v>20</v>
      </c>
      <c r="K12" s="321"/>
      <c r="L12" s="321"/>
      <c r="M12" s="321"/>
      <c r="N12" s="321"/>
      <c r="O12" s="295">
        <v>20</v>
      </c>
      <c r="P12" s="317" t="s">
        <v>347</v>
      </c>
    </row>
    <row r="13" spans="1:17" ht="18" customHeight="1" x14ac:dyDescent="0.3">
      <c r="A13" s="319">
        <v>7</v>
      </c>
      <c r="B13" s="68">
        <v>7</v>
      </c>
      <c r="C13" s="250" t="s">
        <v>138</v>
      </c>
      <c r="D13" s="141" t="s">
        <v>139</v>
      </c>
      <c r="E13" s="70" t="s">
        <v>116</v>
      </c>
      <c r="F13" s="142" t="s">
        <v>103</v>
      </c>
      <c r="G13" s="295">
        <v>1</v>
      </c>
      <c r="H13" s="320">
        <v>19800</v>
      </c>
      <c r="I13" s="321">
        <v>3</v>
      </c>
      <c r="J13" s="321">
        <v>20</v>
      </c>
      <c r="K13" s="321"/>
      <c r="L13" s="321"/>
      <c r="M13" s="321"/>
      <c r="N13" s="321"/>
      <c r="O13" s="295">
        <v>20</v>
      </c>
      <c r="P13" s="317" t="s">
        <v>347</v>
      </c>
    </row>
    <row r="14" spans="1:17" ht="18" customHeight="1" x14ac:dyDescent="0.3">
      <c r="A14" s="319">
        <v>8</v>
      </c>
      <c r="B14" s="68">
        <v>5</v>
      </c>
      <c r="C14" s="141" t="s">
        <v>136</v>
      </c>
      <c r="D14" s="250" t="s">
        <v>133</v>
      </c>
      <c r="E14" s="143" t="s">
        <v>116</v>
      </c>
      <c r="F14" s="142" t="s">
        <v>103</v>
      </c>
      <c r="G14" s="295">
        <v>1</v>
      </c>
      <c r="H14" s="320">
        <v>19350</v>
      </c>
      <c r="I14" s="321">
        <v>2</v>
      </c>
      <c r="J14" s="321">
        <v>20</v>
      </c>
      <c r="K14" s="321"/>
      <c r="L14" s="321"/>
      <c r="M14" s="321"/>
      <c r="N14" s="321"/>
      <c r="O14" s="295">
        <v>20</v>
      </c>
      <c r="P14" s="317" t="s">
        <v>347</v>
      </c>
    </row>
    <row r="15" spans="1:17" ht="18" customHeight="1" x14ac:dyDescent="0.3">
      <c r="A15" s="319">
        <v>9</v>
      </c>
      <c r="B15" s="68">
        <v>48</v>
      </c>
      <c r="C15" s="141" t="s">
        <v>234</v>
      </c>
      <c r="D15" s="141" t="s">
        <v>166</v>
      </c>
      <c r="E15" s="143" t="s">
        <v>116</v>
      </c>
      <c r="F15" s="142" t="s">
        <v>103</v>
      </c>
      <c r="G15" s="295">
        <v>1</v>
      </c>
      <c r="H15" s="320">
        <v>16500</v>
      </c>
      <c r="I15" s="321">
        <v>2</v>
      </c>
      <c r="J15" s="321">
        <v>20</v>
      </c>
      <c r="K15" s="321"/>
      <c r="L15" s="321"/>
      <c r="M15" s="321"/>
      <c r="N15" s="321"/>
      <c r="O15" s="295">
        <v>20</v>
      </c>
      <c r="P15" s="317" t="s">
        <v>347</v>
      </c>
    </row>
    <row r="16" spans="1:17" ht="18" customHeight="1" x14ac:dyDescent="0.3">
      <c r="A16" s="319">
        <v>10</v>
      </c>
      <c r="B16" s="68">
        <v>49</v>
      </c>
      <c r="C16" s="141" t="s">
        <v>235</v>
      </c>
      <c r="D16" s="141" t="s">
        <v>243</v>
      </c>
      <c r="E16" s="143" t="s">
        <v>116</v>
      </c>
      <c r="F16" s="143" t="s">
        <v>103</v>
      </c>
      <c r="G16" s="295">
        <v>1</v>
      </c>
      <c r="H16" s="320">
        <v>16045</v>
      </c>
      <c r="I16" s="321">
        <v>3</v>
      </c>
      <c r="J16" s="321">
        <v>20</v>
      </c>
      <c r="K16" s="321"/>
      <c r="L16" s="321"/>
      <c r="M16" s="321"/>
      <c r="N16" s="321"/>
      <c r="O16" s="295">
        <v>20</v>
      </c>
      <c r="P16" s="317" t="s">
        <v>347</v>
      </c>
    </row>
    <row r="17" spans="1:16" ht="18" customHeight="1" x14ac:dyDescent="0.3">
      <c r="A17" s="319">
        <v>11</v>
      </c>
      <c r="B17" s="68">
        <v>16</v>
      </c>
      <c r="C17" s="141" t="s">
        <v>154</v>
      </c>
      <c r="D17" s="250" t="s">
        <v>105</v>
      </c>
      <c r="E17" s="143" t="s">
        <v>116</v>
      </c>
      <c r="F17" s="142" t="s">
        <v>103</v>
      </c>
      <c r="G17" s="295">
        <v>1</v>
      </c>
      <c r="H17" s="320">
        <v>15200</v>
      </c>
      <c r="I17" s="321">
        <v>4</v>
      </c>
      <c r="J17" s="321">
        <v>20</v>
      </c>
      <c r="K17" s="321"/>
      <c r="L17" s="321"/>
      <c r="M17" s="321"/>
      <c r="N17" s="321"/>
      <c r="O17" s="295">
        <v>20</v>
      </c>
      <c r="P17" s="317" t="s">
        <v>347</v>
      </c>
    </row>
    <row r="18" spans="1:16" ht="18" customHeight="1" x14ac:dyDescent="0.3">
      <c r="A18" s="319">
        <v>12</v>
      </c>
      <c r="B18" s="68">
        <v>63</v>
      </c>
      <c r="C18" s="141" t="s">
        <v>257</v>
      </c>
      <c r="D18" s="250" t="s">
        <v>104</v>
      </c>
      <c r="E18" s="143" t="s">
        <v>116</v>
      </c>
      <c r="F18" s="142" t="s">
        <v>103</v>
      </c>
      <c r="G18" s="295">
        <v>1</v>
      </c>
      <c r="H18" s="320">
        <v>15150</v>
      </c>
      <c r="I18" s="321">
        <v>3</v>
      </c>
      <c r="J18" s="321">
        <v>20</v>
      </c>
      <c r="K18" s="321"/>
      <c r="L18" s="321"/>
      <c r="M18" s="321"/>
      <c r="N18" s="321"/>
      <c r="O18" s="295">
        <v>20</v>
      </c>
      <c r="P18" s="317" t="s">
        <v>347</v>
      </c>
    </row>
    <row r="19" spans="1:16" ht="18" customHeight="1" x14ac:dyDescent="0.3">
      <c r="A19" s="319">
        <v>13</v>
      </c>
      <c r="B19" s="68">
        <v>2</v>
      </c>
      <c r="C19" s="141" t="s">
        <v>130</v>
      </c>
      <c r="D19" s="250" t="s">
        <v>131</v>
      </c>
      <c r="E19" s="70" t="s">
        <v>116</v>
      </c>
      <c r="F19" s="142" t="s">
        <v>103</v>
      </c>
      <c r="G19" s="295">
        <v>1</v>
      </c>
      <c r="H19" s="320">
        <v>13770</v>
      </c>
      <c r="I19" s="321">
        <v>3</v>
      </c>
      <c r="J19" s="321">
        <v>20</v>
      </c>
      <c r="K19" s="321"/>
      <c r="L19" s="321"/>
      <c r="M19" s="321"/>
      <c r="N19" s="321"/>
      <c r="O19" s="295">
        <v>20</v>
      </c>
      <c r="P19" s="317" t="s">
        <v>347</v>
      </c>
    </row>
    <row r="20" spans="1:16" ht="18" customHeight="1" x14ac:dyDescent="0.3">
      <c r="A20" s="319">
        <v>14</v>
      </c>
      <c r="B20" s="68">
        <v>67</v>
      </c>
      <c r="C20" s="250" t="s">
        <v>263</v>
      </c>
      <c r="D20" s="141" t="s">
        <v>264</v>
      </c>
      <c r="E20" s="70" t="s">
        <v>116</v>
      </c>
      <c r="F20" s="142" t="s">
        <v>103</v>
      </c>
      <c r="G20" s="295">
        <v>1</v>
      </c>
      <c r="H20" s="320">
        <v>13200</v>
      </c>
      <c r="I20" s="321">
        <v>4</v>
      </c>
      <c r="J20" s="321">
        <v>20</v>
      </c>
      <c r="K20" s="321"/>
      <c r="L20" s="321"/>
      <c r="M20" s="321"/>
      <c r="N20" s="321"/>
      <c r="O20" s="295">
        <v>20</v>
      </c>
      <c r="P20" s="317" t="s">
        <v>347</v>
      </c>
    </row>
    <row r="21" spans="1:16" ht="18" customHeight="1" x14ac:dyDescent="0.3">
      <c r="A21" s="319">
        <v>15</v>
      </c>
      <c r="B21" s="68">
        <v>8</v>
      </c>
      <c r="C21" s="250" t="s">
        <v>140</v>
      </c>
      <c r="D21" s="250" t="s">
        <v>141</v>
      </c>
      <c r="E21" s="143" t="s">
        <v>116</v>
      </c>
      <c r="F21" s="142" t="s">
        <v>103</v>
      </c>
      <c r="G21" s="295">
        <v>1</v>
      </c>
      <c r="H21" s="320">
        <v>12850</v>
      </c>
      <c r="I21" s="321">
        <v>5</v>
      </c>
      <c r="J21" s="321">
        <v>20</v>
      </c>
      <c r="K21" s="321"/>
      <c r="L21" s="321"/>
      <c r="M21" s="321"/>
      <c r="N21" s="321"/>
      <c r="O21" s="295">
        <v>20</v>
      </c>
      <c r="P21" s="317" t="s">
        <v>347</v>
      </c>
    </row>
    <row r="22" spans="1:16" ht="18" customHeight="1" x14ac:dyDescent="0.3">
      <c r="A22" s="319">
        <v>16</v>
      </c>
      <c r="B22" s="68">
        <v>22</v>
      </c>
      <c r="C22" s="250" t="s">
        <v>164</v>
      </c>
      <c r="D22" s="250" t="s">
        <v>105</v>
      </c>
      <c r="E22" s="143" t="s">
        <v>116</v>
      </c>
      <c r="F22" s="142" t="s">
        <v>103</v>
      </c>
      <c r="G22" s="295">
        <v>1</v>
      </c>
      <c r="H22" s="320">
        <v>12800</v>
      </c>
      <c r="I22" s="321">
        <v>4</v>
      </c>
      <c r="J22" s="321">
        <v>20</v>
      </c>
      <c r="K22" s="321"/>
      <c r="L22" s="321"/>
      <c r="M22" s="321"/>
      <c r="N22" s="321"/>
      <c r="O22" s="295">
        <v>20</v>
      </c>
      <c r="P22" s="317" t="s">
        <v>347</v>
      </c>
    </row>
    <row r="23" spans="1:16" ht="18" customHeight="1" x14ac:dyDescent="0.3">
      <c r="A23" s="319">
        <v>17</v>
      </c>
      <c r="B23" s="68">
        <v>12</v>
      </c>
      <c r="C23" s="141" t="s">
        <v>147</v>
      </c>
      <c r="D23" s="250" t="s">
        <v>148</v>
      </c>
      <c r="E23" s="143" t="s">
        <v>116</v>
      </c>
      <c r="F23" s="142" t="s">
        <v>103</v>
      </c>
      <c r="G23" s="295">
        <v>1</v>
      </c>
      <c r="H23" s="320">
        <v>12200</v>
      </c>
      <c r="I23" s="321">
        <v>4</v>
      </c>
      <c r="J23" s="321">
        <v>20</v>
      </c>
      <c r="K23" s="321"/>
      <c r="L23" s="321"/>
      <c r="M23" s="321"/>
      <c r="N23" s="321"/>
      <c r="O23" s="295">
        <v>20</v>
      </c>
      <c r="P23" s="317" t="s">
        <v>347</v>
      </c>
    </row>
    <row r="24" spans="1:16" ht="18" customHeight="1" x14ac:dyDescent="0.3">
      <c r="A24" s="319">
        <v>18</v>
      </c>
      <c r="B24" s="68">
        <v>62</v>
      </c>
      <c r="C24" s="250" t="s">
        <v>255</v>
      </c>
      <c r="D24" s="250" t="s">
        <v>256</v>
      </c>
      <c r="E24" s="143" t="s">
        <v>116</v>
      </c>
      <c r="F24" s="142" t="s">
        <v>103</v>
      </c>
      <c r="G24" s="295">
        <v>1</v>
      </c>
      <c r="H24" s="320">
        <v>11420</v>
      </c>
      <c r="I24" s="321">
        <v>5</v>
      </c>
      <c r="J24" s="321">
        <v>20</v>
      </c>
      <c r="K24" s="321"/>
      <c r="L24" s="321"/>
      <c r="M24" s="321"/>
      <c r="N24" s="321"/>
      <c r="O24" s="295">
        <v>20</v>
      </c>
      <c r="P24" s="317" t="s">
        <v>347</v>
      </c>
    </row>
    <row r="25" spans="1:16" ht="18" customHeight="1" x14ac:dyDescent="0.3">
      <c r="A25" s="319">
        <v>19</v>
      </c>
      <c r="B25" s="68">
        <v>61</v>
      </c>
      <c r="C25" s="250" t="s">
        <v>254</v>
      </c>
      <c r="D25" s="141" t="s">
        <v>250</v>
      </c>
      <c r="E25" s="143" t="s">
        <v>116</v>
      </c>
      <c r="F25" s="142" t="s">
        <v>103</v>
      </c>
      <c r="G25" s="295">
        <v>1</v>
      </c>
      <c r="H25" s="320">
        <v>10025</v>
      </c>
      <c r="I25" s="321">
        <v>5</v>
      </c>
      <c r="J25" s="321">
        <v>20</v>
      </c>
      <c r="K25" s="321"/>
      <c r="L25" s="321"/>
      <c r="M25" s="321"/>
      <c r="N25" s="321"/>
      <c r="O25" s="295">
        <v>20</v>
      </c>
      <c r="P25" s="317" t="s">
        <v>347</v>
      </c>
    </row>
    <row r="26" spans="1:16" ht="18" customHeight="1" x14ac:dyDescent="0.3">
      <c r="A26" s="319">
        <v>20</v>
      </c>
      <c r="B26" s="68">
        <v>15</v>
      </c>
      <c r="C26" s="141" t="s">
        <v>152</v>
      </c>
      <c r="D26" s="141" t="s">
        <v>104</v>
      </c>
      <c r="E26" s="143" t="s">
        <v>116</v>
      </c>
      <c r="F26" s="142" t="s">
        <v>11</v>
      </c>
      <c r="G26" s="295">
        <v>1</v>
      </c>
      <c r="H26" s="320">
        <v>9900</v>
      </c>
      <c r="I26" s="321">
        <v>6</v>
      </c>
      <c r="J26" s="321">
        <v>20</v>
      </c>
      <c r="K26" s="321"/>
      <c r="L26" s="321"/>
      <c r="M26" s="321"/>
      <c r="N26" s="321"/>
      <c r="O26" s="295">
        <v>20</v>
      </c>
      <c r="P26" s="317" t="s">
        <v>347</v>
      </c>
    </row>
    <row r="27" spans="1:16" ht="18" customHeight="1" x14ac:dyDescent="0.3">
      <c r="A27" s="319">
        <v>21</v>
      </c>
      <c r="B27" s="68">
        <v>4</v>
      </c>
      <c r="C27" s="141" t="s">
        <v>134</v>
      </c>
      <c r="D27" s="141" t="s">
        <v>135</v>
      </c>
      <c r="E27" s="143" t="s">
        <v>116</v>
      </c>
      <c r="F27" s="142" t="s">
        <v>103</v>
      </c>
      <c r="G27" s="295">
        <v>1</v>
      </c>
      <c r="H27" s="320">
        <v>9350</v>
      </c>
      <c r="I27" s="321">
        <v>6</v>
      </c>
      <c r="J27" s="321">
        <v>20</v>
      </c>
      <c r="K27" s="321"/>
      <c r="L27" s="321"/>
      <c r="M27" s="321"/>
      <c r="N27" s="321"/>
      <c r="O27" s="295">
        <v>20</v>
      </c>
      <c r="P27" s="317" t="s">
        <v>347</v>
      </c>
    </row>
    <row r="28" spans="1:16" ht="18" customHeight="1" x14ac:dyDescent="0.3">
      <c r="A28" s="319">
        <v>22</v>
      </c>
      <c r="B28" s="68">
        <v>58</v>
      </c>
      <c r="C28" s="141" t="s">
        <v>249</v>
      </c>
      <c r="D28" s="250" t="s">
        <v>250</v>
      </c>
      <c r="E28" s="143" t="s">
        <v>116</v>
      </c>
      <c r="F28" s="142" t="s">
        <v>103</v>
      </c>
      <c r="G28" s="295">
        <v>1</v>
      </c>
      <c r="H28" s="320">
        <v>9200</v>
      </c>
      <c r="I28" s="321">
        <v>1</v>
      </c>
      <c r="J28" s="321">
        <v>20</v>
      </c>
      <c r="K28" s="321"/>
      <c r="L28" s="321"/>
      <c r="M28" s="321"/>
      <c r="N28" s="321"/>
      <c r="O28" s="295">
        <v>20</v>
      </c>
      <c r="P28" s="317" t="s">
        <v>347</v>
      </c>
    </row>
    <row r="29" spans="1:16" ht="18" customHeight="1" x14ac:dyDescent="0.3">
      <c r="A29" s="319">
        <v>23</v>
      </c>
      <c r="B29" s="68">
        <v>14</v>
      </c>
      <c r="C29" s="141" t="s">
        <v>151</v>
      </c>
      <c r="D29" s="141" t="s">
        <v>153</v>
      </c>
      <c r="E29" s="143" t="s">
        <v>116</v>
      </c>
      <c r="F29" s="142" t="s">
        <v>103</v>
      </c>
      <c r="G29" s="295">
        <v>1</v>
      </c>
      <c r="H29" s="320">
        <v>8500</v>
      </c>
      <c r="I29" s="321">
        <v>7</v>
      </c>
      <c r="J29" s="321">
        <v>20</v>
      </c>
      <c r="K29" s="321"/>
      <c r="L29" s="321"/>
      <c r="M29" s="321"/>
      <c r="N29" s="321"/>
      <c r="O29" s="295">
        <v>20</v>
      </c>
      <c r="P29" s="317" t="s">
        <v>347</v>
      </c>
    </row>
    <row r="30" spans="1:16" ht="18" customHeight="1" x14ac:dyDescent="0.3">
      <c r="A30" s="319">
        <v>24</v>
      </c>
      <c r="B30" s="68">
        <v>10</v>
      </c>
      <c r="C30" s="141" t="s">
        <v>143</v>
      </c>
      <c r="D30" s="250" t="s">
        <v>144</v>
      </c>
      <c r="E30" s="143" t="s">
        <v>116</v>
      </c>
      <c r="F30" s="142" t="s">
        <v>103</v>
      </c>
      <c r="G30" s="295">
        <v>1</v>
      </c>
      <c r="H30" s="320">
        <v>8120</v>
      </c>
      <c r="I30" s="321">
        <v>8</v>
      </c>
      <c r="J30" s="321">
        <v>20</v>
      </c>
      <c r="K30" s="321"/>
      <c r="L30" s="321"/>
      <c r="M30" s="321"/>
      <c r="N30" s="321"/>
      <c r="O30" s="295">
        <v>20</v>
      </c>
      <c r="P30" s="317" t="s">
        <v>347</v>
      </c>
    </row>
    <row r="31" spans="1:16" ht="18" customHeight="1" x14ac:dyDescent="0.3">
      <c r="A31" s="319">
        <v>25</v>
      </c>
      <c r="B31" s="68">
        <v>19</v>
      </c>
      <c r="C31" s="141" t="s">
        <v>158</v>
      </c>
      <c r="D31" s="141" t="s">
        <v>159</v>
      </c>
      <c r="E31" s="143" t="s">
        <v>116</v>
      </c>
      <c r="F31" s="142" t="s">
        <v>103</v>
      </c>
      <c r="G31" s="295">
        <v>1</v>
      </c>
      <c r="H31" s="320">
        <v>7000</v>
      </c>
      <c r="I31" s="321">
        <v>6</v>
      </c>
      <c r="J31" s="321">
        <v>20</v>
      </c>
      <c r="K31" s="321"/>
      <c r="L31" s="321"/>
      <c r="M31" s="321"/>
      <c r="N31" s="321"/>
      <c r="O31" s="295">
        <v>20</v>
      </c>
      <c r="P31" s="317" t="s">
        <v>347</v>
      </c>
    </row>
    <row r="32" spans="1:16" ht="18" customHeight="1" x14ac:dyDescent="0.3">
      <c r="A32" s="319">
        <v>26</v>
      </c>
      <c r="B32" s="68">
        <v>45</v>
      </c>
      <c r="C32" s="250" t="s">
        <v>230</v>
      </c>
      <c r="D32" s="250" t="s">
        <v>231</v>
      </c>
      <c r="E32" s="143" t="s">
        <v>116</v>
      </c>
      <c r="F32" s="142" t="s">
        <v>103</v>
      </c>
      <c r="G32" s="295">
        <v>1</v>
      </c>
      <c r="H32" s="320">
        <v>6300</v>
      </c>
      <c r="I32" s="321">
        <v>2</v>
      </c>
      <c r="J32" s="321">
        <v>20</v>
      </c>
      <c r="K32" s="321"/>
      <c r="L32" s="321"/>
      <c r="M32" s="321"/>
      <c r="N32" s="321"/>
      <c r="O32" s="295">
        <v>20</v>
      </c>
      <c r="P32" s="317" t="s">
        <v>347</v>
      </c>
    </row>
    <row r="33" spans="1:16" ht="18" customHeight="1" x14ac:dyDescent="0.3">
      <c r="A33" s="319">
        <v>27</v>
      </c>
      <c r="B33" s="68">
        <v>94</v>
      </c>
      <c r="C33" s="141" t="s">
        <v>305</v>
      </c>
      <c r="D33" s="250" t="s">
        <v>306</v>
      </c>
      <c r="E33" s="143" t="s">
        <v>116</v>
      </c>
      <c r="F33" s="142" t="s">
        <v>103</v>
      </c>
      <c r="G33" s="295">
        <v>1</v>
      </c>
      <c r="H33" s="320">
        <v>6250</v>
      </c>
      <c r="I33" s="321">
        <v>3</v>
      </c>
      <c r="J33" s="321">
        <v>20</v>
      </c>
      <c r="K33" s="321"/>
      <c r="L33" s="321"/>
      <c r="M33" s="321"/>
      <c r="N33" s="321"/>
      <c r="O33" s="295">
        <v>20</v>
      </c>
      <c r="P33" s="317" t="s">
        <v>347</v>
      </c>
    </row>
    <row r="34" spans="1:16" ht="18" customHeight="1" x14ac:dyDescent="0.3">
      <c r="A34" s="319">
        <v>28</v>
      </c>
      <c r="B34" s="68">
        <v>18</v>
      </c>
      <c r="C34" s="141" t="s">
        <v>157</v>
      </c>
      <c r="D34" s="250" t="s">
        <v>105</v>
      </c>
      <c r="E34" s="143" t="s">
        <v>116</v>
      </c>
      <c r="F34" s="142" t="s">
        <v>103</v>
      </c>
      <c r="G34" s="295">
        <v>1</v>
      </c>
      <c r="H34" s="320">
        <v>5675</v>
      </c>
      <c r="I34" s="321">
        <v>7</v>
      </c>
      <c r="J34" s="321">
        <v>20</v>
      </c>
      <c r="K34" s="321"/>
      <c r="L34" s="321"/>
      <c r="M34" s="321"/>
      <c r="N34" s="321"/>
      <c r="O34" s="295">
        <v>20</v>
      </c>
      <c r="P34" s="317" t="s">
        <v>347</v>
      </c>
    </row>
    <row r="35" spans="1:16" ht="18" customHeight="1" x14ac:dyDescent="0.3">
      <c r="A35" s="319">
        <v>29</v>
      </c>
      <c r="B35" s="68">
        <v>46</v>
      </c>
      <c r="C35" s="250" t="s">
        <v>232</v>
      </c>
      <c r="D35" s="250" t="s">
        <v>231</v>
      </c>
      <c r="E35" s="70" t="s">
        <v>116</v>
      </c>
      <c r="F35" s="142" t="s">
        <v>103</v>
      </c>
      <c r="G35" s="295">
        <v>1</v>
      </c>
      <c r="H35" s="320">
        <v>5000</v>
      </c>
      <c r="I35" s="321">
        <v>5</v>
      </c>
      <c r="J35" s="321">
        <v>20</v>
      </c>
      <c r="K35" s="321"/>
      <c r="L35" s="321"/>
      <c r="M35" s="321"/>
      <c r="N35" s="321"/>
      <c r="O35" s="295">
        <v>20</v>
      </c>
      <c r="P35" s="317" t="s">
        <v>347</v>
      </c>
    </row>
    <row r="36" spans="1:16" ht="18" customHeight="1" x14ac:dyDescent="0.3">
      <c r="A36" s="319">
        <v>30</v>
      </c>
      <c r="B36" s="68">
        <v>37</v>
      </c>
      <c r="C36" s="141" t="s">
        <v>214</v>
      </c>
      <c r="D36" s="250" t="s">
        <v>105</v>
      </c>
      <c r="E36" s="143" t="s">
        <v>116</v>
      </c>
      <c r="F36" s="142" t="s">
        <v>103</v>
      </c>
      <c r="G36" s="295">
        <v>1</v>
      </c>
      <c r="H36" s="320">
        <v>3425</v>
      </c>
      <c r="I36" s="321">
        <v>4</v>
      </c>
      <c r="J36" s="321">
        <v>20</v>
      </c>
      <c r="K36" s="321"/>
      <c r="L36" s="321"/>
      <c r="M36" s="321"/>
      <c r="N36" s="321"/>
      <c r="O36" s="295">
        <v>20</v>
      </c>
      <c r="P36" s="317" t="s">
        <v>347</v>
      </c>
    </row>
    <row r="37" spans="1:16" ht="18" customHeight="1" x14ac:dyDescent="0.3">
      <c r="A37" s="319">
        <v>31</v>
      </c>
      <c r="B37" s="68">
        <v>3</v>
      </c>
      <c r="C37" s="141" t="s">
        <v>132</v>
      </c>
      <c r="D37" s="141" t="s">
        <v>133</v>
      </c>
      <c r="E37" s="143" t="s">
        <v>116</v>
      </c>
      <c r="F37" s="142" t="s">
        <v>103</v>
      </c>
      <c r="G37" s="295">
        <v>1</v>
      </c>
      <c r="H37" s="320">
        <v>2750</v>
      </c>
      <c r="I37" s="321">
        <v>6</v>
      </c>
      <c r="J37" s="321">
        <v>20</v>
      </c>
      <c r="K37" s="321"/>
      <c r="L37" s="321"/>
      <c r="M37" s="321"/>
      <c r="N37" s="321"/>
      <c r="O37" s="295">
        <v>20</v>
      </c>
      <c r="P37" s="317" t="s">
        <v>347</v>
      </c>
    </row>
    <row r="38" spans="1:16" ht="18" customHeight="1" x14ac:dyDescent="0.3">
      <c r="A38" s="319">
        <v>32</v>
      </c>
      <c r="B38" s="68">
        <v>21</v>
      </c>
      <c r="C38" s="250" t="s">
        <v>162</v>
      </c>
      <c r="D38" s="250" t="s">
        <v>163</v>
      </c>
      <c r="E38" s="143" t="s">
        <v>116</v>
      </c>
      <c r="F38" s="142" t="s">
        <v>103</v>
      </c>
      <c r="G38" s="295">
        <v>1</v>
      </c>
      <c r="H38" s="320">
        <v>2600</v>
      </c>
      <c r="I38" s="321">
        <v>7</v>
      </c>
      <c r="J38" s="321">
        <v>20</v>
      </c>
      <c r="K38" s="321"/>
      <c r="L38" s="321"/>
      <c r="M38" s="321"/>
      <c r="N38" s="321"/>
      <c r="O38" s="295">
        <v>20</v>
      </c>
      <c r="P38" s="317" t="s">
        <v>347</v>
      </c>
    </row>
    <row r="39" spans="1:16" ht="18" customHeight="1" x14ac:dyDescent="0.3">
      <c r="A39" s="319">
        <v>33</v>
      </c>
      <c r="B39" s="68">
        <v>95</v>
      </c>
      <c r="C39" s="141" t="s">
        <v>307</v>
      </c>
      <c r="D39" s="250" t="s">
        <v>105</v>
      </c>
      <c r="E39" s="143" t="s">
        <v>116</v>
      </c>
      <c r="F39" s="142" t="s">
        <v>103</v>
      </c>
      <c r="G39" s="295">
        <v>1</v>
      </c>
      <c r="H39" s="320">
        <v>2525</v>
      </c>
      <c r="I39" s="321">
        <v>8</v>
      </c>
      <c r="J39" s="321">
        <v>20</v>
      </c>
      <c r="K39" s="321"/>
      <c r="L39" s="321"/>
      <c r="M39" s="321"/>
      <c r="N39" s="321"/>
      <c r="O39" s="295">
        <v>20</v>
      </c>
      <c r="P39" s="317" t="s">
        <v>347</v>
      </c>
    </row>
    <row r="40" spans="1:16" ht="18" customHeight="1" x14ac:dyDescent="0.3">
      <c r="A40" s="319">
        <v>34</v>
      </c>
      <c r="B40" s="68">
        <v>43</v>
      </c>
      <c r="C40" s="250" t="s">
        <v>226</v>
      </c>
      <c r="D40" s="141" t="s">
        <v>227</v>
      </c>
      <c r="E40" s="143" t="s">
        <v>116</v>
      </c>
      <c r="F40" s="142" t="s">
        <v>103</v>
      </c>
      <c r="G40" s="295">
        <v>1</v>
      </c>
      <c r="H40" s="320">
        <v>2400</v>
      </c>
      <c r="I40" s="321">
        <v>5</v>
      </c>
      <c r="J40" s="321">
        <v>20</v>
      </c>
      <c r="K40" s="321"/>
      <c r="L40" s="321"/>
      <c r="M40" s="321"/>
      <c r="N40" s="321"/>
      <c r="O40" s="295">
        <v>20</v>
      </c>
      <c r="P40" s="317" t="s">
        <v>347</v>
      </c>
    </row>
    <row r="41" spans="1:16" ht="18" customHeight="1" x14ac:dyDescent="0.3">
      <c r="A41" s="319">
        <v>35</v>
      </c>
      <c r="B41" s="68">
        <v>6</v>
      </c>
      <c r="C41" s="141" t="s">
        <v>137</v>
      </c>
      <c r="D41" s="250" t="s">
        <v>133</v>
      </c>
      <c r="E41" s="143" t="s">
        <v>116</v>
      </c>
      <c r="F41" s="142" t="s">
        <v>103</v>
      </c>
      <c r="G41" s="295">
        <v>1</v>
      </c>
      <c r="H41" s="320">
        <v>2350</v>
      </c>
      <c r="I41" s="321">
        <v>6</v>
      </c>
      <c r="J41" s="321">
        <v>20</v>
      </c>
      <c r="K41" s="321"/>
      <c r="L41" s="321"/>
      <c r="M41" s="321"/>
      <c r="N41" s="321"/>
      <c r="O41" s="295">
        <v>20</v>
      </c>
      <c r="P41" s="317" t="s">
        <v>347</v>
      </c>
    </row>
    <row r="42" spans="1:16" ht="18" customHeight="1" x14ac:dyDescent="0.3">
      <c r="A42" s="319">
        <v>36</v>
      </c>
      <c r="B42" s="68">
        <v>65</v>
      </c>
      <c r="C42" s="141" t="s">
        <v>259</v>
      </c>
      <c r="D42" s="141" t="s">
        <v>260</v>
      </c>
      <c r="E42" s="143" t="s">
        <v>116</v>
      </c>
      <c r="F42" s="142" t="s">
        <v>103</v>
      </c>
      <c r="G42" s="295">
        <v>1</v>
      </c>
      <c r="H42" s="320">
        <v>2325</v>
      </c>
      <c r="I42" s="321">
        <v>8</v>
      </c>
      <c r="J42" s="321">
        <v>20</v>
      </c>
      <c r="K42" s="321"/>
      <c r="L42" s="321"/>
      <c r="M42" s="321"/>
      <c r="N42" s="321"/>
      <c r="O42" s="295">
        <v>20</v>
      </c>
      <c r="P42" s="317" t="s">
        <v>347</v>
      </c>
    </row>
    <row r="43" spans="1:16" ht="18" customHeight="1" x14ac:dyDescent="0.3">
      <c r="A43" s="319">
        <v>37</v>
      </c>
      <c r="B43" s="68">
        <v>11</v>
      </c>
      <c r="C43" s="250" t="s">
        <v>145</v>
      </c>
      <c r="D43" s="250" t="s">
        <v>146</v>
      </c>
      <c r="E43" s="143" t="s">
        <v>116</v>
      </c>
      <c r="F43" s="142" t="s">
        <v>103</v>
      </c>
      <c r="G43" s="295">
        <v>1</v>
      </c>
      <c r="H43" s="320">
        <v>2225</v>
      </c>
      <c r="I43" s="321">
        <v>9</v>
      </c>
      <c r="J43" s="321">
        <v>20</v>
      </c>
      <c r="K43" s="321"/>
      <c r="L43" s="321"/>
      <c r="M43" s="321"/>
      <c r="N43" s="321"/>
      <c r="O43" s="295">
        <v>20</v>
      </c>
      <c r="P43" s="317" t="s">
        <v>347</v>
      </c>
    </row>
    <row r="44" spans="1:16" ht="18" customHeight="1" x14ac:dyDescent="0.3">
      <c r="A44" s="319">
        <v>38</v>
      </c>
      <c r="B44" s="68">
        <v>1</v>
      </c>
      <c r="C44" s="141" t="s">
        <v>128</v>
      </c>
      <c r="D44" s="141" t="s">
        <v>129</v>
      </c>
      <c r="E44" s="70" t="s">
        <v>116</v>
      </c>
      <c r="F44" s="142" t="s">
        <v>103</v>
      </c>
      <c r="G44" s="295">
        <v>1</v>
      </c>
      <c r="H44" s="320">
        <v>2175</v>
      </c>
      <c r="I44" s="321">
        <v>10</v>
      </c>
      <c r="J44" s="321">
        <v>20</v>
      </c>
      <c r="K44" s="321"/>
      <c r="L44" s="321"/>
      <c r="M44" s="321"/>
      <c r="N44" s="321"/>
      <c r="O44" s="295">
        <v>20</v>
      </c>
      <c r="P44" s="317" t="s">
        <v>347</v>
      </c>
    </row>
    <row r="45" spans="1:16" ht="18" customHeight="1" x14ac:dyDescent="0.3">
      <c r="A45" s="319">
        <v>39</v>
      </c>
      <c r="B45" s="68">
        <v>13</v>
      </c>
      <c r="C45" s="141" t="s">
        <v>149</v>
      </c>
      <c r="D45" s="250" t="s">
        <v>150</v>
      </c>
      <c r="E45" s="143" t="s">
        <v>116</v>
      </c>
      <c r="F45" s="142" t="s">
        <v>11</v>
      </c>
      <c r="G45" s="295">
        <v>1</v>
      </c>
      <c r="H45" s="320">
        <v>2100</v>
      </c>
      <c r="I45" s="321">
        <v>7</v>
      </c>
      <c r="J45" s="321">
        <v>20</v>
      </c>
      <c r="K45" s="321"/>
      <c r="L45" s="321"/>
      <c r="M45" s="321"/>
      <c r="N45" s="321"/>
      <c r="O45" s="295">
        <v>20</v>
      </c>
      <c r="P45" s="317" t="s">
        <v>347</v>
      </c>
    </row>
    <row r="46" spans="1:16" ht="18" customHeight="1" x14ac:dyDescent="0.3">
      <c r="A46" s="319">
        <v>40</v>
      </c>
      <c r="B46" s="68">
        <v>56</v>
      </c>
      <c r="C46" s="141" t="s">
        <v>245</v>
      </c>
      <c r="D46" s="141" t="s">
        <v>246</v>
      </c>
      <c r="E46" s="143" t="s">
        <v>116</v>
      </c>
      <c r="F46" s="142" t="s">
        <v>103</v>
      </c>
      <c r="G46" s="295">
        <v>1</v>
      </c>
      <c r="H46" s="320">
        <v>2075</v>
      </c>
      <c r="I46" s="321">
        <v>7</v>
      </c>
      <c r="J46" s="321">
        <v>20</v>
      </c>
      <c r="K46" s="321"/>
      <c r="L46" s="321"/>
      <c r="M46" s="321"/>
      <c r="N46" s="321"/>
      <c r="O46" s="295">
        <v>20</v>
      </c>
      <c r="P46" s="317" t="s">
        <v>347</v>
      </c>
    </row>
    <row r="47" spans="1:16" ht="18" customHeight="1" x14ac:dyDescent="0.3">
      <c r="A47" s="319">
        <v>41</v>
      </c>
      <c r="B47" s="68">
        <v>9</v>
      </c>
      <c r="C47" s="141" t="s">
        <v>142</v>
      </c>
      <c r="D47" s="250" t="s">
        <v>131</v>
      </c>
      <c r="E47" s="143" t="s">
        <v>116</v>
      </c>
      <c r="F47" s="142" t="s">
        <v>103</v>
      </c>
      <c r="G47" s="295">
        <v>1</v>
      </c>
      <c r="H47" s="320">
        <v>2000</v>
      </c>
      <c r="I47" s="321">
        <v>8</v>
      </c>
      <c r="J47" s="321">
        <v>20</v>
      </c>
      <c r="K47" s="321"/>
      <c r="L47" s="321"/>
      <c r="M47" s="321"/>
      <c r="N47" s="321"/>
      <c r="O47" s="295">
        <v>20</v>
      </c>
      <c r="P47" s="317" t="s">
        <v>347</v>
      </c>
    </row>
    <row r="48" spans="1:16" ht="18" customHeight="1" x14ac:dyDescent="0.3">
      <c r="A48" s="319">
        <v>42</v>
      </c>
      <c r="B48" s="68">
        <v>44</v>
      </c>
      <c r="C48" s="141" t="s">
        <v>228</v>
      </c>
      <c r="D48" s="250" t="s">
        <v>229</v>
      </c>
      <c r="E48" s="143" t="s">
        <v>116</v>
      </c>
      <c r="F48" s="142" t="s">
        <v>103</v>
      </c>
      <c r="G48" s="295">
        <v>1</v>
      </c>
      <c r="H48" s="320">
        <v>1850</v>
      </c>
      <c r="I48" s="321">
        <v>9</v>
      </c>
      <c r="J48" s="321">
        <v>20</v>
      </c>
      <c r="K48" s="321"/>
      <c r="L48" s="321"/>
      <c r="M48" s="321"/>
      <c r="N48" s="321"/>
      <c r="O48" s="295">
        <v>20</v>
      </c>
      <c r="P48" s="317" t="s">
        <v>347</v>
      </c>
    </row>
    <row r="49" spans="1:16" ht="18" customHeight="1" x14ac:dyDescent="0.3">
      <c r="A49" s="319">
        <v>43</v>
      </c>
      <c r="B49" s="68">
        <v>64</v>
      </c>
      <c r="C49" s="141" t="s">
        <v>258</v>
      </c>
      <c r="D49" s="141" t="s">
        <v>229</v>
      </c>
      <c r="E49" s="143" t="s">
        <v>116</v>
      </c>
      <c r="F49" s="142" t="s">
        <v>103</v>
      </c>
      <c r="G49" s="295">
        <v>1</v>
      </c>
      <c r="H49" s="320">
        <v>950</v>
      </c>
      <c r="I49" s="321">
        <v>9</v>
      </c>
      <c r="J49" s="321">
        <v>20</v>
      </c>
      <c r="K49" s="321"/>
      <c r="L49" s="321"/>
      <c r="M49" s="321"/>
      <c r="N49" s="321"/>
      <c r="O49" s="295">
        <v>20</v>
      </c>
      <c r="P49" s="317" t="s">
        <v>347</v>
      </c>
    </row>
    <row r="50" spans="1:16" ht="18" customHeight="1" x14ac:dyDescent="0.3">
      <c r="A50" s="319">
        <v>44</v>
      </c>
      <c r="B50" s="68">
        <v>17</v>
      </c>
      <c r="C50" s="250" t="s">
        <v>155</v>
      </c>
      <c r="D50" s="250" t="s">
        <v>156</v>
      </c>
      <c r="E50" s="143" t="s">
        <v>116</v>
      </c>
      <c r="F50" s="142" t="s">
        <v>108</v>
      </c>
      <c r="G50" s="295">
        <v>1</v>
      </c>
      <c r="H50" s="320">
        <v>500</v>
      </c>
      <c r="I50" s="321">
        <v>9</v>
      </c>
      <c r="J50" s="321">
        <v>20</v>
      </c>
      <c r="K50" s="321"/>
      <c r="L50" s="321"/>
      <c r="M50" s="321"/>
      <c r="N50" s="321"/>
      <c r="O50" s="295">
        <v>20</v>
      </c>
      <c r="P50" s="317" t="s">
        <v>347</v>
      </c>
    </row>
    <row r="51" spans="1:16" ht="18" customHeight="1" x14ac:dyDescent="0.3">
      <c r="A51" s="319">
        <v>45</v>
      </c>
      <c r="B51" s="68">
        <v>20</v>
      </c>
      <c r="C51" s="141" t="s">
        <v>160</v>
      </c>
      <c r="D51" s="250" t="s">
        <v>161</v>
      </c>
      <c r="E51" s="70" t="s">
        <v>116</v>
      </c>
      <c r="F51" s="142" t="s">
        <v>103</v>
      </c>
      <c r="G51" s="295">
        <v>1</v>
      </c>
      <c r="H51" s="320">
        <v>0</v>
      </c>
      <c r="I51" s="321">
        <v>8.5</v>
      </c>
      <c r="J51" s="321">
        <v>20</v>
      </c>
      <c r="K51" s="321"/>
      <c r="L51" s="321"/>
      <c r="M51" s="321"/>
      <c r="N51" s="321"/>
      <c r="O51" s="295">
        <v>20</v>
      </c>
      <c r="P51" s="317" t="s">
        <v>347</v>
      </c>
    </row>
    <row r="52" spans="1:16" ht="18" customHeight="1" x14ac:dyDescent="0.3">
      <c r="A52" s="319">
        <v>46</v>
      </c>
      <c r="B52" s="68">
        <v>36</v>
      </c>
      <c r="C52" s="250" t="s">
        <v>212</v>
      </c>
      <c r="D52" s="141" t="s">
        <v>213</v>
      </c>
      <c r="E52" s="143" t="s">
        <v>116</v>
      </c>
      <c r="F52" s="142" t="s">
        <v>103</v>
      </c>
      <c r="G52" s="295">
        <v>1</v>
      </c>
      <c r="H52" s="320">
        <v>0</v>
      </c>
      <c r="I52" s="321">
        <v>8.5</v>
      </c>
      <c r="J52" s="321">
        <v>20</v>
      </c>
      <c r="K52" s="321"/>
      <c r="L52" s="321"/>
      <c r="M52" s="321"/>
      <c r="N52" s="321"/>
      <c r="O52" s="295">
        <v>20</v>
      </c>
      <c r="P52" s="317" t="s">
        <v>347</v>
      </c>
    </row>
    <row r="53" spans="1:16" ht="18" customHeight="1" x14ac:dyDescent="0.3">
      <c r="A53" s="319">
        <v>47</v>
      </c>
      <c r="B53" s="68">
        <v>68</v>
      </c>
      <c r="C53" s="141" t="s">
        <v>265</v>
      </c>
      <c r="D53" s="141" t="s">
        <v>266</v>
      </c>
      <c r="E53" s="143" t="s">
        <v>116</v>
      </c>
      <c r="F53" s="142" t="s">
        <v>103</v>
      </c>
      <c r="G53" s="295">
        <v>1</v>
      </c>
      <c r="H53" s="320">
        <v>0</v>
      </c>
      <c r="I53" s="321">
        <v>10</v>
      </c>
      <c r="J53" s="321">
        <v>20</v>
      </c>
      <c r="K53" s="321"/>
      <c r="L53" s="321"/>
      <c r="M53" s="321"/>
      <c r="N53" s="321"/>
      <c r="O53" s="295">
        <v>20</v>
      </c>
      <c r="P53" s="317" t="s">
        <v>347</v>
      </c>
    </row>
    <row r="54" spans="1:16" ht="18" customHeight="1" x14ac:dyDescent="0.3">
      <c r="A54" s="319">
        <v>48</v>
      </c>
      <c r="B54" s="68">
        <v>96</v>
      </c>
      <c r="C54" s="141" t="s">
        <v>308</v>
      </c>
      <c r="D54" s="141" t="s">
        <v>309</v>
      </c>
      <c r="E54" s="143" t="s">
        <v>116</v>
      </c>
      <c r="F54" s="142" t="s">
        <v>103</v>
      </c>
      <c r="G54" s="295">
        <v>1</v>
      </c>
      <c r="H54" s="320">
        <v>0</v>
      </c>
      <c r="I54" s="321">
        <v>10</v>
      </c>
      <c r="J54" s="321">
        <v>20</v>
      </c>
      <c r="K54" s="321"/>
      <c r="L54" s="321"/>
      <c r="M54" s="321"/>
      <c r="N54" s="321"/>
      <c r="O54" s="295">
        <v>20</v>
      </c>
      <c r="P54" s="317" t="s">
        <v>347</v>
      </c>
    </row>
    <row r="55" spans="1:16" ht="18" customHeight="1" x14ac:dyDescent="0.3">
      <c r="A55" s="319">
        <v>49</v>
      </c>
      <c r="B55" s="68">
        <v>47</v>
      </c>
      <c r="C55" s="141" t="s">
        <v>233</v>
      </c>
      <c r="D55" s="141" t="s">
        <v>163</v>
      </c>
      <c r="E55" s="143" t="s">
        <v>116</v>
      </c>
      <c r="F55" s="142" t="s">
        <v>103</v>
      </c>
      <c r="G55" s="295">
        <v>0</v>
      </c>
      <c r="H55" s="320">
        <v>0</v>
      </c>
      <c r="I55" s="321">
        <v>20</v>
      </c>
      <c r="J55" s="321">
        <v>20</v>
      </c>
      <c r="K55" s="321"/>
      <c r="L55" s="321"/>
      <c r="M55" s="321"/>
      <c r="N55" s="321"/>
      <c r="O55" s="295">
        <v>20</v>
      </c>
      <c r="P55" s="317" t="s">
        <v>347</v>
      </c>
    </row>
    <row r="56" spans="1:16" ht="18" customHeight="1" x14ac:dyDescent="0.3">
      <c r="A56" s="319">
        <v>50</v>
      </c>
      <c r="B56" s="68">
        <v>69</v>
      </c>
      <c r="C56" s="250" t="s">
        <v>267</v>
      </c>
      <c r="D56" s="141" t="s">
        <v>268</v>
      </c>
      <c r="E56" s="143" t="s">
        <v>116</v>
      </c>
      <c r="F56" s="142" t="s">
        <v>103</v>
      </c>
      <c r="G56" s="295">
        <v>0</v>
      </c>
      <c r="H56" s="320">
        <v>0</v>
      </c>
      <c r="I56" s="321">
        <v>20</v>
      </c>
      <c r="J56" s="321">
        <v>20</v>
      </c>
      <c r="K56" s="321"/>
      <c r="L56" s="321"/>
      <c r="M56" s="321"/>
      <c r="N56" s="321"/>
      <c r="O56" s="295">
        <v>20</v>
      </c>
      <c r="P56" s="317" t="s">
        <v>347</v>
      </c>
    </row>
    <row r="57" spans="1:16" ht="18" customHeight="1" x14ac:dyDescent="0.3">
      <c r="A57" s="319">
        <v>51</v>
      </c>
      <c r="B57" s="71">
        <v>124</v>
      </c>
      <c r="C57" s="47" t="s">
        <v>370</v>
      </c>
      <c r="D57" s="249" t="s">
        <v>371</v>
      </c>
      <c r="E57" s="70" t="s">
        <v>116</v>
      </c>
      <c r="F57" s="69" t="s">
        <v>103</v>
      </c>
      <c r="G57" s="295">
        <v>0</v>
      </c>
      <c r="H57" s="320">
        <v>0</v>
      </c>
      <c r="I57" s="321">
        <v>20</v>
      </c>
      <c r="J57" s="321">
        <v>20</v>
      </c>
      <c r="K57" s="321"/>
      <c r="L57" s="321"/>
      <c r="M57" s="321"/>
      <c r="N57" s="321"/>
      <c r="O57" s="295">
        <v>20</v>
      </c>
      <c r="P57" s="317" t="s">
        <v>347</v>
      </c>
    </row>
    <row r="58" spans="1:16" ht="18" customHeight="1" x14ac:dyDescent="0.3">
      <c r="A58" s="319">
        <v>52</v>
      </c>
      <c r="B58" s="71">
        <v>125</v>
      </c>
      <c r="C58" s="47" t="s">
        <v>372</v>
      </c>
      <c r="D58" s="47" t="s">
        <v>371</v>
      </c>
      <c r="E58" s="70" t="s">
        <v>116</v>
      </c>
      <c r="F58" s="69" t="s">
        <v>103</v>
      </c>
      <c r="G58" s="295">
        <v>0</v>
      </c>
      <c r="H58" s="320">
        <v>0</v>
      </c>
      <c r="I58" s="321">
        <v>20</v>
      </c>
      <c r="J58" s="321">
        <v>20</v>
      </c>
      <c r="K58" s="321"/>
      <c r="L58" s="321"/>
      <c r="M58" s="321"/>
      <c r="N58" s="321"/>
      <c r="O58" s="295">
        <v>20</v>
      </c>
      <c r="P58" s="317" t="s">
        <v>347</v>
      </c>
    </row>
    <row r="59" spans="1:16" ht="18" customHeight="1" x14ac:dyDescent="0.3">
      <c r="A59" s="319">
        <v>53</v>
      </c>
      <c r="B59" s="71">
        <v>126</v>
      </c>
      <c r="C59" s="47" t="s">
        <v>373</v>
      </c>
      <c r="D59" s="47" t="s">
        <v>374</v>
      </c>
      <c r="E59" s="70" t="s">
        <v>116</v>
      </c>
      <c r="F59" s="69" t="s">
        <v>103</v>
      </c>
      <c r="G59" s="295">
        <v>0</v>
      </c>
      <c r="H59" s="320">
        <v>0</v>
      </c>
      <c r="I59" s="321">
        <v>20</v>
      </c>
      <c r="J59" s="321">
        <v>20</v>
      </c>
      <c r="K59" s="321"/>
      <c r="L59" s="321"/>
      <c r="M59" s="321"/>
      <c r="N59" s="321"/>
      <c r="O59" s="295">
        <v>20</v>
      </c>
      <c r="P59" s="317" t="s">
        <v>347</v>
      </c>
    </row>
    <row r="60" spans="1:16" ht="18" customHeight="1" x14ac:dyDescent="0.3">
      <c r="A60" s="319">
        <v>54</v>
      </c>
      <c r="B60" s="71">
        <v>127</v>
      </c>
      <c r="C60" s="47" t="s">
        <v>375</v>
      </c>
      <c r="D60" s="249" t="s">
        <v>376</v>
      </c>
      <c r="E60" s="70" t="s">
        <v>116</v>
      </c>
      <c r="F60" s="69" t="s">
        <v>103</v>
      </c>
      <c r="G60" s="295">
        <v>0</v>
      </c>
      <c r="H60" s="320">
        <v>0</v>
      </c>
      <c r="I60" s="321">
        <v>20</v>
      </c>
      <c r="J60" s="321">
        <v>20</v>
      </c>
      <c r="K60" s="321"/>
      <c r="L60" s="321"/>
      <c r="M60" s="321"/>
      <c r="N60" s="321"/>
      <c r="O60" s="295">
        <v>20</v>
      </c>
      <c r="P60" s="317" t="s">
        <v>347</v>
      </c>
    </row>
    <row r="61" spans="1:16" ht="18" customHeight="1" x14ac:dyDescent="0.3">
      <c r="A61" s="319">
        <v>55</v>
      </c>
      <c r="B61" s="71">
        <v>128</v>
      </c>
      <c r="C61" s="47" t="s">
        <v>377</v>
      </c>
      <c r="D61" s="249" t="s">
        <v>378</v>
      </c>
      <c r="E61" s="70" t="s">
        <v>116</v>
      </c>
      <c r="F61" s="69" t="s">
        <v>103</v>
      </c>
      <c r="G61" s="295">
        <v>0</v>
      </c>
      <c r="H61" s="320">
        <v>0</v>
      </c>
      <c r="I61" s="321">
        <v>20</v>
      </c>
      <c r="J61" s="321">
        <v>20</v>
      </c>
      <c r="K61" s="321"/>
      <c r="L61" s="321"/>
      <c r="M61" s="321"/>
      <c r="N61" s="321"/>
      <c r="O61" s="295">
        <v>20</v>
      </c>
      <c r="P61" s="317" t="s">
        <v>347</v>
      </c>
    </row>
    <row r="62" spans="1:16" ht="18" customHeight="1" x14ac:dyDescent="0.3">
      <c r="A62" s="319">
        <v>56</v>
      </c>
      <c r="B62" s="71">
        <v>129</v>
      </c>
      <c r="C62" s="47" t="s">
        <v>379</v>
      </c>
      <c r="D62" s="249" t="s">
        <v>380</v>
      </c>
      <c r="E62" s="70" t="s">
        <v>116</v>
      </c>
      <c r="F62" s="69" t="s">
        <v>103</v>
      </c>
      <c r="G62" s="295">
        <v>0</v>
      </c>
      <c r="H62" s="320">
        <v>0</v>
      </c>
      <c r="I62" s="321">
        <v>20</v>
      </c>
      <c r="J62" s="321">
        <v>20</v>
      </c>
      <c r="K62" s="321"/>
      <c r="L62" s="321"/>
      <c r="M62" s="321"/>
      <c r="N62" s="321"/>
      <c r="O62" s="295">
        <v>20</v>
      </c>
      <c r="P62" s="317" t="s">
        <v>347</v>
      </c>
    </row>
    <row r="63" spans="1:16" ht="18" customHeight="1" x14ac:dyDescent="0.3">
      <c r="A63" s="319">
        <v>57</v>
      </c>
      <c r="B63" s="71">
        <v>130</v>
      </c>
      <c r="C63" s="249" t="s">
        <v>381</v>
      </c>
      <c r="D63" s="249" t="s">
        <v>342</v>
      </c>
      <c r="E63" s="70" t="s">
        <v>116</v>
      </c>
      <c r="F63" s="69" t="s">
        <v>103</v>
      </c>
      <c r="G63" s="295">
        <v>0</v>
      </c>
      <c r="H63" s="320">
        <v>0</v>
      </c>
      <c r="I63" s="321">
        <v>20</v>
      </c>
      <c r="J63" s="321">
        <v>20</v>
      </c>
      <c r="K63" s="321"/>
      <c r="L63" s="321"/>
      <c r="M63" s="321"/>
      <c r="N63" s="321"/>
      <c r="O63" s="295">
        <v>20</v>
      </c>
      <c r="P63" s="317" t="s">
        <v>347</v>
      </c>
    </row>
    <row r="64" spans="1:16" ht="18" customHeight="1" x14ac:dyDescent="0.3">
      <c r="A64" s="319">
        <v>58</v>
      </c>
      <c r="B64" s="295"/>
      <c r="C64" s="316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317"/>
    </row>
    <row r="65" spans="1:16" ht="18" customHeight="1" x14ac:dyDescent="0.3">
      <c r="A65" s="319">
        <v>59</v>
      </c>
      <c r="B65" s="295"/>
      <c r="C65" s="316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317"/>
    </row>
    <row r="66" spans="1:16" ht="18" customHeight="1" x14ac:dyDescent="0.3">
      <c r="A66" s="319">
        <v>60</v>
      </c>
      <c r="B66" s="295"/>
      <c r="C66" s="316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317"/>
    </row>
    <row r="67" spans="1:16" ht="18" customHeight="1" x14ac:dyDescent="0.3">
      <c r="A67" s="319">
        <v>61</v>
      </c>
      <c r="B67" s="295"/>
      <c r="C67" s="316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317"/>
    </row>
    <row r="68" spans="1:16" ht="18" customHeight="1" x14ac:dyDescent="0.3">
      <c r="A68" s="319">
        <v>62</v>
      </c>
      <c r="B68" s="295"/>
      <c r="C68" s="316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317"/>
    </row>
    <row r="69" spans="1:16" ht="18" customHeight="1" x14ac:dyDescent="0.3">
      <c r="A69" s="319">
        <v>63</v>
      </c>
      <c r="B69" s="295"/>
      <c r="C69" s="316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317"/>
    </row>
    <row r="70" spans="1:16" x14ac:dyDescent="0.3">
      <c r="C70" s="272"/>
      <c r="P70" s="82"/>
    </row>
    <row r="71" spans="1:16" x14ac:dyDescent="0.3">
      <c r="C71" s="272"/>
      <c r="P71" s="82"/>
    </row>
    <row r="72" spans="1:16" x14ac:dyDescent="0.3">
      <c r="C72" s="272"/>
      <c r="P72" s="82"/>
    </row>
    <row r="73" spans="1:16" x14ac:dyDescent="0.3">
      <c r="C73" s="272"/>
      <c r="P73" s="82"/>
    </row>
    <row r="74" spans="1:16" x14ac:dyDescent="0.3">
      <c r="C74" s="272"/>
      <c r="P74" s="82"/>
    </row>
    <row r="75" spans="1:16" x14ac:dyDescent="0.3">
      <c r="C75" s="272"/>
      <c r="P75" s="82"/>
    </row>
    <row r="76" spans="1:16" x14ac:dyDescent="0.3">
      <c r="C76" s="272"/>
      <c r="P76" s="82"/>
    </row>
    <row r="77" spans="1:16" x14ac:dyDescent="0.3">
      <c r="C77" s="272"/>
      <c r="P77" s="82"/>
    </row>
    <row r="78" spans="1:16" x14ac:dyDescent="0.3">
      <c r="C78" s="272"/>
      <c r="P78" s="82"/>
    </row>
    <row r="79" spans="1:16" x14ac:dyDescent="0.3">
      <c r="C79" s="272"/>
      <c r="P79" s="82"/>
    </row>
    <row r="80" spans="1:16" x14ac:dyDescent="0.3">
      <c r="C80" s="272"/>
      <c r="P80" s="82"/>
    </row>
    <row r="81" spans="3:16" x14ac:dyDescent="0.3">
      <c r="C81" s="272"/>
      <c r="P81" s="82"/>
    </row>
    <row r="82" spans="3:16" x14ac:dyDescent="0.3">
      <c r="C82" s="272"/>
      <c r="P82" s="82"/>
    </row>
    <row r="83" spans="3:16" x14ac:dyDescent="0.3">
      <c r="C83" s="272"/>
      <c r="P83" s="82"/>
    </row>
    <row r="84" spans="3:16" x14ac:dyDescent="0.3">
      <c r="C84" s="272"/>
      <c r="P84" s="82"/>
    </row>
    <row r="85" spans="3:16" x14ac:dyDescent="0.3">
      <c r="C85" s="272"/>
      <c r="P85" s="82"/>
    </row>
    <row r="86" spans="3:16" x14ac:dyDescent="0.3">
      <c r="C86" s="272"/>
      <c r="P86" s="82"/>
    </row>
    <row r="87" spans="3:16" x14ac:dyDescent="0.3">
      <c r="C87" s="272"/>
      <c r="P87" s="82"/>
    </row>
    <row r="88" spans="3:16" x14ac:dyDescent="0.3">
      <c r="C88" s="272"/>
      <c r="P88" s="82"/>
    </row>
    <row r="89" spans="3:16" x14ac:dyDescent="0.3">
      <c r="C89" s="272"/>
      <c r="P89" s="82"/>
    </row>
    <row r="90" spans="3:16" x14ac:dyDescent="0.3">
      <c r="C90" s="272"/>
      <c r="P90" s="82"/>
    </row>
    <row r="91" spans="3:16" x14ac:dyDescent="0.3">
      <c r="C91" s="272"/>
      <c r="P91" s="82"/>
    </row>
    <row r="92" spans="3:16" x14ac:dyDescent="0.3">
      <c r="C92" s="272"/>
      <c r="P92" s="82"/>
    </row>
    <row r="93" spans="3:16" x14ac:dyDescent="0.3">
      <c r="C93" s="272"/>
      <c r="P93" s="82"/>
    </row>
    <row r="94" spans="3:16" x14ac:dyDescent="0.3">
      <c r="C94" s="272"/>
      <c r="P94" s="82"/>
    </row>
    <row r="95" spans="3:16" x14ac:dyDescent="0.3">
      <c r="C95" s="272"/>
      <c r="P95" s="82"/>
    </row>
    <row r="96" spans="3:16" x14ac:dyDescent="0.3">
      <c r="C96" s="272"/>
      <c r="P96" s="82"/>
    </row>
    <row r="97" spans="3:16" x14ac:dyDescent="0.3">
      <c r="C97" s="272"/>
      <c r="P97" s="82"/>
    </row>
    <row r="98" spans="3:16" x14ac:dyDescent="0.3">
      <c r="C98" s="272"/>
      <c r="P98" s="82"/>
    </row>
    <row r="99" spans="3:16" x14ac:dyDescent="0.3">
      <c r="C99" s="272"/>
      <c r="P99" s="82"/>
    </row>
    <row r="100" spans="3:16" x14ac:dyDescent="0.3">
      <c r="C100" s="272"/>
      <c r="P100" s="82"/>
    </row>
    <row r="101" spans="3:16" x14ac:dyDescent="0.3">
      <c r="C101" s="272"/>
      <c r="P101" s="82"/>
    </row>
    <row r="102" spans="3:16" x14ac:dyDescent="0.3">
      <c r="C102" s="272"/>
      <c r="P102" s="82"/>
    </row>
    <row r="103" spans="3:16" x14ac:dyDescent="0.3">
      <c r="C103" s="272"/>
      <c r="P103" s="82"/>
    </row>
    <row r="104" spans="3:16" x14ac:dyDescent="0.3">
      <c r="C104" s="272"/>
      <c r="P104" s="82"/>
    </row>
    <row r="105" spans="3:16" x14ac:dyDescent="0.3">
      <c r="C105" s="272"/>
      <c r="P105" s="82"/>
    </row>
    <row r="106" spans="3:16" x14ac:dyDescent="0.3">
      <c r="C106" s="272"/>
      <c r="P106" s="82"/>
    </row>
    <row r="107" spans="3:16" x14ac:dyDescent="0.3">
      <c r="C107" s="272"/>
      <c r="P107" s="82"/>
    </row>
    <row r="108" spans="3:16" x14ac:dyDescent="0.3">
      <c r="C108" s="272"/>
      <c r="P108" s="82"/>
    </row>
    <row r="109" spans="3:16" x14ac:dyDescent="0.3">
      <c r="C109" s="272"/>
      <c r="P109" s="82"/>
    </row>
    <row r="110" spans="3:16" x14ac:dyDescent="0.3">
      <c r="C110" s="272"/>
      <c r="P110" s="82"/>
    </row>
    <row r="111" spans="3:16" x14ac:dyDescent="0.3">
      <c r="C111" s="272"/>
      <c r="P111" s="82"/>
    </row>
    <row r="112" spans="3:16" x14ac:dyDescent="0.3">
      <c r="C112" s="272"/>
      <c r="P112" s="82"/>
    </row>
    <row r="113" spans="3:16" x14ac:dyDescent="0.3">
      <c r="C113" s="272"/>
      <c r="P113" s="82"/>
    </row>
    <row r="114" spans="3:16" x14ac:dyDescent="0.3">
      <c r="C114" s="272"/>
      <c r="P114" s="82"/>
    </row>
    <row r="115" spans="3:16" x14ac:dyDescent="0.3">
      <c r="C115" s="272"/>
      <c r="P115" s="82"/>
    </row>
    <row r="116" spans="3:16" x14ac:dyDescent="0.3">
      <c r="C116" s="272"/>
      <c r="P116" s="82"/>
    </row>
    <row r="117" spans="3:16" x14ac:dyDescent="0.3">
      <c r="C117" s="272"/>
      <c r="P117" s="82"/>
    </row>
    <row r="118" spans="3:16" x14ac:dyDescent="0.3">
      <c r="C118" s="272"/>
      <c r="P118" s="82"/>
    </row>
    <row r="119" spans="3:16" x14ac:dyDescent="0.3">
      <c r="C119" s="272"/>
      <c r="P119" s="82"/>
    </row>
    <row r="120" spans="3:16" x14ac:dyDescent="0.3">
      <c r="C120" s="272"/>
      <c r="P120" s="82"/>
    </row>
    <row r="121" spans="3:16" x14ac:dyDescent="0.3">
      <c r="C121" s="272"/>
      <c r="P121" s="82"/>
    </row>
    <row r="122" spans="3:16" x14ac:dyDescent="0.3">
      <c r="C122" s="272"/>
      <c r="P122" s="82"/>
    </row>
    <row r="123" spans="3:16" x14ac:dyDescent="0.3">
      <c r="C123" s="272"/>
      <c r="P123" s="82"/>
    </row>
    <row r="124" spans="3:16" x14ac:dyDescent="0.3">
      <c r="C124" s="272"/>
      <c r="P124" s="82"/>
    </row>
    <row r="125" spans="3:16" x14ac:dyDescent="0.3">
      <c r="C125" s="272"/>
      <c r="P125" s="82"/>
    </row>
    <row r="126" spans="3:16" x14ac:dyDescent="0.3">
      <c r="C126" s="272"/>
      <c r="P126" s="82"/>
    </row>
    <row r="127" spans="3:16" x14ac:dyDescent="0.3">
      <c r="C127" s="272"/>
      <c r="P127" s="82"/>
    </row>
    <row r="128" spans="3:16" x14ac:dyDescent="0.3">
      <c r="C128" s="272"/>
      <c r="P128" s="82"/>
    </row>
    <row r="129" spans="3:16" x14ac:dyDescent="0.3">
      <c r="C129" s="272"/>
      <c r="P129" s="82"/>
    </row>
    <row r="130" spans="3:16" x14ac:dyDescent="0.3">
      <c r="C130" s="272"/>
      <c r="P130" s="82"/>
    </row>
    <row r="131" spans="3:16" x14ac:dyDescent="0.3">
      <c r="C131" s="272"/>
      <c r="P131" s="82"/>
    </row>
    <row r="132" spans="3:16" x14ac:dyDescent="0.3">
      <c r="C132" s="272"/>
      <c r="P132" s="82"/>
    </row>
    <row r="133" spans="3:16" x14ac:dyDescent="0.3">
      <c r="C133" s="272"/>
      <c r="P133" s="82"/>
    </row>
    <row r="134" spans="3:16" x14ac:dyDescent="0.3">
      <c r="C134" s="272"/>
      <c r="P134" s="82"/>
    </row>
    <row r="135" spans="3:16" x14ac:dyDescent="0.3">
      <c r="C135" s="272"/>
      <c r="P135" s="82"/>
    </row>
    <row r="136" spans="3:16" x14ac:dyDescent="0.3">
      <c r="C136" s="272"/>
      <c r="P136" s="82"/>
    </row>
    <row r="137" spans="3:16" x14ac:dyDescent="0.3">
      <c r="C137" s="272"/>
      <c r="P137" s="82"/>
    </row>
    <row r="138" spans="3:16" x14ac:dyDescent="0.3">
      <c r="C138" s="272"/>
      <c r="P138" s="82"/>
    </row>
    <row r="139" spans="3:16" x14ac:dyDescent="0.3">
      <c r="C139" s="272"/>
      <c r="P139" s="82"/>
    </row>
    <row r="140" spans="3:16" x14ac:dyDescent="0.3">
      <c r="C140" s="272"/>
      <c r="P140" s="82"/>
    </row>
    <row r="141" spans="3:16" x14ac:dyDescent="0.3">
      <c r="C141" s="272"/>
      <c r="P141" s="82"/>
    </row>
    <row r="142" spans="3:16" x14ac:dyDescent="0.3">
      <c r="C142" s="272"/>
      <c r="P142" s="82"/>
    </row>
    <row r="143" spans="3:16" x14ac:dyDescent="0.3">
      <c r="C143" s="272"/>
      <c r="P143" s="82"/>
    </row>
    <row r="144" spans="3:16" x14ac:dyDescent="0.3">
      <c r="C144" s="272"/>
      <c r="P144" s="82"/>
    </row>
    <row r="145" spans="3:16" x14ac:dyDescent="0.3">
      <c r="C145" s="272"/>
      <c r="P145" s="82"/>
    </row>
    <row r="146" spans="3:16" x14ac:dyDescent="0.3">
      <c r="C146" s="272"/>
      <c r="P146" s="82"/>
    </row>
    <row r="147" spans="3:16" x14ac:dyDescent="0.3">
      <c r="C147" s="272"/>
      <c r="P147" s="82"/>
    </row>
    <row r="148" spans="3:16" x14ac:dyDescent="0.3">
      <c r="C148" s="272"/>
      <c r="P148" s="82"/>
    </row>
    <row r="149" spans="3:16" x14ac:dyDescent="0.3">
      <c r="C149" s="272"/>
      <c r="P149" s="82"/>
    </row>
    <row r="150" spans="3:16" x14ac:dyDescent="0.3">
      <c r="C150" s="272"/>
      <c r="P150" s="82"/>
    </row>
    <row r="151" spans="3:16" x14ac:dyDescent="0.3">
      <c r="C151" s="272"/>
      <c r="P151" s="82"/>
    </row>
    <row r="152" spans="3:16" x14ac:dyDescent="0.3">
      <c r="C152" s="272"/>
      <c r="P152" s="82"/>
    </row>
    <row r="153" spans="3:16" x14ac:dyDescent="0.3">
      <c r="C153" s="272"/>
      <c r="P153" s="82"/>
    </row>
    <row r="154" spans="3:16" x14ac:dyDescent="0.3">
      <c r="C154" s="272"/>
      <c r="P154" s="82"/>
    </row>
    <row r="155" spans="3:16" x14ac:dyDescent="0.3">
      <c r="C155" s="272"/>
      <c r="P155" s="82"/>
    </row>
    <row r="156" spans="3:16" x14ac:dyDescent="0.3">
      <c r="C156" s="272"/>
      <c r="P156" s="82"/>
    </row>
    <row r="157" spans="3:16" x14ac:dyDescent="0.3">
      <c r="C157" s="272"/>
      <c r="P157" s="82"/>
    </row>
    <row r="158" spans="3:16" x14ac:dyDescent="0.3">
      <c r="C158" s="272"/>
      <c r="P158" s="82"/>
    </row>
    <row r="159" spans="3:16" x14ac:dyDescent="0.3">
      <c r="C159" s="272"/>
      <c r="P159" s="82"/>
    </row>
    <row r="160" spans="3:16" x14ac:dyDescent="0.3">
      <c r="C160" s="272"/>
      <c r="P160" s="82"/>
    </row>
    <row r="161" spans="3:16" x14ac:dyDescent="0.3">
      <c r="C161" s="272"/>
      <c r="P161" s="82"/>
    </row>
    <row r="162" spans="3:16" x14ac:dyDescent="0.3">
      <c r="C162" s="272"/>
      <c r="P162" s="82"/>
    </row>
    <row r="163" spans="3:16" x14ac:dyDescent="0.3">
      <c r="C163" s="272"/>
      <c r="P163" s="82"/>
    </row>
    <row r="164" spans="3:16" x14ac:dyDescent="0.3">
      <c r="C164" s="272"/>
      <c r="P164" s="82"/>
    </row>
    <row r="165" spans="3:16" x14ac:dyDescent="0.3">
      <c r="C165" s="272"/>
      <c r="P165" s="82"/>
    </row>
    <row r="166" spans="3:16" x14ac:dyDescent="0.3">
      <c r="C166" s="272"/>
      <c r="P166" s="82"/>
    </row>
    <row r="167" spans="3:16" x14ac:dyDescent="0.3">
      <c r="C167" s="272"/>
      <c r="P167" s="82"/>
    </row>
    <row r="168" spans="3:16" x14ac:dyDescent="0.3">
      <c r="C168" s="272"/>
      <c r="P168" s="82"/>
    </row>
    <row r="169" spans="3:16" x14ac:dyDescent="0.3">
      <c r="C169" s="272"/>
      <c r="P169" s="82"/>
    </row>
    <row r="170" spans="3:16" x14ac:dyDescent="0.3">
      <c r="C170" s="272"/>
      <c r="P170" s="82"/>
    </row>
    <row r="171" spans="3:16" x14ac:dyDescent="0.3">
      <c r="C171" s="272"/>
      <c r="P171" s="82"/>
    </row>
    <row r="172" spans="3:16" x14ac:dyDescent="0.3">
      <c r="C172" s="272"/>
      <c r="P172" s="82"/>
    </row>
    <row r="173" spans="3:16" x14ac:dyDescent="0.3">
      <c r="C173" s="272"/>
      <c r="P173" s="82"/>
    </row>
    <row r="174" spans="3:16" x14ac:dyDescent="0.3">
      <c r="C174" s="272"/>
      <c r="P174" s="82"/>
    </row>
    <row r="175" spans="3:16" x14ac:dyDescent="0.3">
      <c r="C175" s="272"/>
      <c r="P175" s="82"/>
    </row>
    <row r="176" spans="3:16" x14ac:dyDescent="0.3">
      <c r="C176" s="272"/>
      <c r="P176" s="82"/>
    </row>
    <row r="177" spans="3:16" x14ac:dyDescent="0.3">
      <c r="C177" s="272"/>
      <c r="P177" s="82"/>
    </row>
    <row r="178" spans="3:16" x14ac:dyDescent="0.3">
      <c r="C178" s="272"/>
      <c r="P178" s="82"/>
    </row>
    <row r="179" spans="3:16" x14ac:dyDescent="0.3">
      <c r="C179" s="272"/>
      <c r="P179" s="82"/>
    </row>
    <row r="180" spans="3:16" x14ac:dyDescent="0.3">
      <c r="C180" s="272"/>
      <c r="P180" s="82"/>
    </row>
    <row r="181" spans="3:16" x14ac:dyDescent="0.3">
      <c r="C181" s="272"/>
      <c r="P181" s="82"/>
    </row>
    <row r="182" spans="3:16" x14ac:dyDescent="0.3">
      <c r="C182" s="272"/>
      <c r="P182" s="82"/>
    </row>
    <row r="183" spans="3:16" x14ac:dyDescent="0.3">
      <c r="C183" s="272"/>
      <c r="P183" s="82"/>
    </row>
    <row r="184" spans="3:16" x14ac:dyDescent="0.3">
      <c r="C184" s="272"/>
      <c r="P184" s="82"/>
    </row>
    <row r="185" spans="3:16" x14ac:dyDescent="0.3">
      <c r="C185" s="272"/>
      <c r="P185" s="82"/>
    </row>
    <row r="186" spans="3:16" x14ac:dyDescent="0.3">
      <c r="C186" s="272"/>
      <c r="P186" s="82"/>
    </row>
    <row r="187" spans="3:16" x14ac:dyDescent="0.3">
      <c r="C187" s="272"/>
      <c r="P187" s="82"/>
    </row>
    <row r="188" spans="3:16" x14ac:dyDescent="0.3">
      <c r="C188" s="272"/>
      <c r="P188" s="82"/>
    </row>
    <row r="189" spans="3:16" x14ac:dyDescent="0.3">
      <c r="C189" s="272"/>
      <c r="P189" s="82"/>
    </row>
    <row r="190" spans="3:16" x14ac:dyDescent="0.3">
      <c r="C190" s="272"/>
      <c r="P190" s="82"/>
    </row>
    <row r="191" spans="3:16" x14ac:dyDescent="0.3">
      <c r="C191" s="272"/>
      <c r="P191" s="82"/>
    </row>
    <row r="192" spans="3:16" x14ac:dyDescent="0.3">
      <c r="C192" s="272"/>
      <c r="P192" s="82"/>
    </row>
    <row r="193" spans="3:16" x14ac:dyDescent="0.3">
      <c r="C193" s="272"/>
      <c r="P193" s="82"/>
    </row>
    <row r="194" spans="3:16" x14ac:dyDescent="0.3">
      <c r="C194" s="272"/>
      <c r="P194" s="82"/>
    </row>
    <row r="195" spans="3:16" x14ac:dyDescent="0.3">
      <c r="C195" s="272"/>
      <c r="P195" s="82"/>
    </row>
    <row r="196" spans="3:16" x14ac:dyDescent="0.3">
      <c r="C196" s="272"/>
      <c r="P196" s="82"/>
    </row>
    <row r="197" spans="3:16" x14ac:dyDescent="0.3">
      <c r="C197" s="272"/>
      <c r="P197" s="82"/>
    </row>
    <row r="198" spans="3:16" x14ac:dyDescent="0.3">
      <c r="C198" s="272"/>
      <c r="P198" s="82"/>
    </row>
    <row r="199" spans="3:16" x14ac:dyDescent="0.3">
      <c r="C199" s="272"/>
    </row>
    <row r="200" spans="3:16" x14ac:dyDescent="0.3">
      <c r="C200" s="272"/>
    </row>
  </sheetData>
  <mergeCells count="13">
    <mergeCell ref="H5:H6"/>
    <mergeCell ref="I5:N5"/>
    <mergeCell ref="O5:O6"/>
    <mergeCell ref="P5:P6"/>
    <mergeCell ref="A1:F1"/>
    <mergeCell ref="A2:E2"/>
    <mergeCell ref="B5:B6"/>
    <mergeCell ref="C5:C6"/>
    <mergeCell ref="D5:D6"/>
    <mergeCell ref="E5:E6"/>
    <mergeCell ref="F5:F6"/>
    <mergeCell ref="G5:G6"/>
    <mergeCell ref="A5:A6"/>
  </mergeCells>
  <dataValidations count="2">
    <dataValidation type="list" allowBlank="1" showInputMessage="1" showErrorMessage="1" errorTitle="Hiba!" error="Válassz a legördülő listából!" sqref="F7:F63" xr:uid="{00000000-0002-0000-0500-000000000000}">
      <formula1>"felnőtt,női,ifjúsági,gyermek"</formula1>
    </dataValidation>
    <dataValidation type="list" allowBlank="1" showInputMessage="1" showErrorMessage="1" errorTitle="Hiba!" error="Válassz a legördülő listából!" sqref="E7:E63" xr:uid="{00000000-0002-0000-0500-000001000000}">
      <formula1>"feeder,method feeder,úszós,gy"</formula1>
    </dataValidation>
  </dataValidations>
  <printOptions horizontalCentered="1"/>
  <pageMargins left="0.39370078740157483" right="0.39370078740157483" top="0.47244094488188981" bottom="0.27559055118110237" header="0.27559055118110237" footer="0.15748031496062992"/>
  <pageSetup paperSize="9" orientation="landscape" r:id="rId1"/>
  <headerFooter>
    <oddHeader>&amp;R&amp;"-,Dőlt"&amp;10&amp;P. oldal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Button 1">
              <controlPr defaultSize="0" print="0" autoFill="0" autoPict="0" macro="[0]!Makró_VE_feedernagy">
                <anchor>
                  <from>
                    <xdr:col>3</xdr:col>
                    <xdr:colOff>1013460</xdr:colOff>
                    <xdr:row>1</xdr:row>
                    <xdr:rowOff>502920</xdr:rowOff>
                  </from>
                  <to>
                    <xdr:col>4</xdr:col>
                    <xdr:colOff>426720</xdr:colOff>
                    <xdr:row>1</xdr:row>
                    <xdr:rowOff>784860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Button 2">
              <controlPr defaultSize="0" print="0" autoFill="0" autoPict="0" macro="[0]!Makró_VE_uszos">
                <anchor>
                  <from>
                    <xdr:col>5</xdr:col>
                    <xdr:colOff>175260</xdr:colOff>
                    <xdr:row>1</xdr:row>
                    <xdr:rowOff>495300</xdr:rowOff>
                  </from>
                  <to>
                    <xdr:col>6</xdr:col>
                    <xdr:colOff>312420</xdr:colOff>
                    <xdr:row>1</xdr:row>
                    <xdr:rowOff>769620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Button 3">
              <controlPr defaultSize="0" print="0" autoFill="0" autoPict="0" macro="[0]!Makró_VE_ifjusagi">
                <anchor>
                  <from>
                    <xdr:col>7</xdr:col>
                    <xdr:colOff>495300</xdr:colOff>
                    <xdr:row>1</xdr:row>
                    <xdr:rowOff>487680</xdr:rowOff>
                  </from>
                  <to>
                    <xdr:col>10</xdr:col>
                    <xdr:colOff>68580</xdr:colOff>
                    <xdr:row>1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Button 4">
              <controlPr defaultSize="0" print="0" autoFill="0" autoPict="0" macro="[0]!Makró_VE_gyermek">
                <anchor>
                  <from>
                    <xdr:col>6</xdr:col>
                    <xdr:colOff>373380</xdr:colOff>
                    <xdr:row>1</xdr:row>
                    <xdr:rowOff>487680</xdr:rowOff>
                  </from>
                  <to>
                    <xdr:col>7</xdr:col>
                    <xdr:colOff>441960</xdr:colOff>
                    <xdr:row>1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Button 5">
              <controlPr defaultSize="0" print="0" autoFill="0" autoPict="0" macro="[0]!Makró_VE_feederkis">
                <anchor>
                  <from>
                    <xdr:col>4</xdr:col>
                    <xdr:colOff>480060</xdr:colOff>
                    <xdr:row>1</xdr:row>
                    <xdr:rowOff>495300</xdr:rowOff>
                  </from>
                  <to>
                    <xdr:col>5</xdr:col>
                    <xdr:colOff>114300</xdr:colOff>
                    <xdr:row>1</xdr:row>
                    <xdr:rowOff>769620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Button 6">
              <controlPr defaultSize="0" print="0" autoFill="0" autoPict="0" macro="[0]!Makró_VE_noi">
                <anchor>
                  <from>
                    <xdr:col>10</xdr:col>
                    <xdr:colOff>121920</xdr:colOff>
                    <xdr:row>1</xdr:row>
                    <xdr:rowOff>487680</xdr:rowOff>
                  </from>
                  <to>
                    <xdr:col>12</xdr:col>
                    <xdr:colOff>251460</xdr:colOff>
                    <xdr:row>1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Button 7">
              <controlPr defaultSize="0" print="0" autoFill="0" autoPict="0" macro="[0]!Makró_VE_kulfoldi">
                <anchor>
                  <from>
                    <xdr:col>13</xdr:col>
                    <xdr:colOff>0</xdr:colOff>
                    <xdr:row>1</xdr:row>
                    <xdr:rowOff>487680</xdr:rowOff>
                  </from>
                  <to>
                    <xdr:col>15</xdr:col>
                    <xdr:colOff>7620</xdr:colOff>
                    <xdr:row>1</xdr:row>
                    <xdr:rowOff>762000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9">
    <tabColor rgb="FF7030A0"/>
    <pageSetUpPr fitToPage="1"/>
  </sheetPr>
  <dimension ref="A3:N39"/>
  <sheetViews>
    <sheetView showGridLines="0" showRowColHeaders="0" topLeftCell="A4" workbookViewId="0">
      <selection activeCell="F12" sqref="F12"/>
    </sheetView>
  </sheetViews>
  <sheetFormatPr defaultRowHeight="14.4" x14ac:dyDescent="0.3"/>
  <cols>
    <col min="1" max="1" width="10.88671875" customWidth="1"/>
    <col min="2" max="2" width="6.109375" customWidth="1"/>
    <col min="3" max="3" width="15.88671875" customWidth="1"/>
    <col min="4" max="9" width="9.6640625" customWidth="1"/>
    <col min="10" max="10" width="10.6640625" customWidth="1"/>
    <col min="13" max="13" width="15.5546875" customWidth="1"/>
  </cols>
  <sheetData>
    <row r="3" spans="1:13" ht="21.75" customHeight="1" x14ac:dyDescent="0.3">
      <c r="A3" s="380" t="s">
        <v>90</v>
      </c>
      <c r="B3" s="380"/>
      <c r="C3" s="380"/>
      <c r="D3" s="380"/>
      <c r="E3" s="380"/>
    </row>
    <row r="4" spans="1:13" ht="7.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7.100000000000001" customHeight="1" x14ac:dyDescent="0.3">
      <c r="A5" s="2" t="s">
        <v>91</v>
      </c>
      <c r="B5" s="1" t="s">
        <v>186</v>
      </c>
      <c r="C5" s="2"/>
      <c r="D5" s="2"/>
      <c r="E5" s="2"/>
      <c r="F5" s="2"/>
      <c r="G5" s="389">
        <v>44653</v>
      </c>
      <c r="H5" s="389"/>
      <c r="I5" s="2"/>
      <c r="J5" s="2"/>
      <c r="K5" s="2"/>
    </row>
    <row r="6" spans="1:13" ht="17.100000000000001" customHeight="1" x14ac:dyDescent="0.3">
      <c r="A6" s="2"/>
      <c r="B6" s="1" t="s">
        <v>187</v>
      </c>
      <c r="C6" s="2"/>
      <c r="D6" s="2"/>
      <c r="E6" s="2"/>
      <c r="F6" s="2"/>
      <c r="G6" s="389">
        <v>44688</v>
      </c>
      <c r="H6" s="389"/>
      <c r="I6" s="2"/>
      <c r="J6" s="2"/>
      <c r="K6" s="2"/>
    </row>
    <row r="7" spans="1:13" ht="17.100000000000001" customHeight="1" x14ac:dyDescent="0.3">
      <c r="A7" s="2"/>
      <c r="B7" s="1" t="s">
        <v>188</v>
      </c>
      <c r="C7" s="2"/>
      <c r="D7" s="2"/>
      <c r="E7" s="2"/>
      <c r="F7" s="2"/>
      <c r="G7" s="390">
        <v>44723</v>
      </c>
      <c r="H7" s="390"/>
      <c r="I7" s="2"/>
      <c r="K7" s="2"/>
      <c r="L7" s="2"/>
    </row>
    <row r="8" spans="1:13" ht="17.100000000000001" customHeight="1" x14ac:dyDescent="0.3">
      <c r="A8" s="2"/>
      <c r="B8" s="1" t="s">
        <v>189</v>
      </c>
      <c r="C8" s="2"/>
      <c r="D8" s="2"/>
      <c r="E8" s="2"/>
      <c r="F8" s="2"/>
      <c r="G8" s="390">
        <v>44751</v>
      </c>
      <c r="H8" s="390"/>
      <c r="I8" s="2"/>
      <c r="J8" s="2"/>
      <c r="K8" s="2"/>
      <c r="L8" s="2"/>
    </row>
    <row r="9" spans="1:13" ht="17.100000000000001" customHeight="1" x14ac:dyDescent="0.3">
      <c r="A9" s="2"/>
      <c r="B9" s="1" t="s">
        <v>190</v>
      </c>
      <c r="C9" s="2"/>
      <c r="D9" s="2"/>
      <c r="E9" s="2"/>
      <c r="F9" s="2"/>
      <c r="G9" s="390">
        <v>44807</v>
      </c>
      <c r="H9" s="390"/>
      <c r="I9" s="2"/>
      <c r="J9" s="2"/>
      <c r="K9" s="2"/>
      <c r="L9" s="2"/>
    </row>
    <row r="10" spans="1:13" ht="17.100000000000001" customHeight="1" x14ac:dyDescent="0.3">
      <c r="A10" s="2"/>
      <c r="B10" s="1" t="s">
        <v>191</v>
      </c>
      <c r="C10" s="2"/>
      <c r="D10" s="2"/>
      <c r="E10" s="2"/>
      <c r="F10" s="2"/>
      <c r="G10" s="390">
        <v>44835</v>
      </c>
      <c r="H10" s="390"/>
      <c r="I10" s="2"/>
      <c r="J10" s="2"/>
      <c r="K10" s="2"/>
      <c r="L10" s="2"/>
    </row>
    <row r="11" spans="1:13" ht="8.2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20.100000000000001" customHeight="1" x14ac:dyDescent="0.3">
      <c r="A12" s="180"/>
      <c r="B12" s="181"/>
      <c r="C12" s="89"/>
      <c r="D12" s="193" t="s">
        <v>86</v>
      </c>
      <c r="E12" s="193" t="s">
        <v>87</v>
      </c>
      <c r="F12" s="193" t="s">
        <v>88</v>
      </c>
      <c r="G12" s="193" t="s">
        <v>30</v>
      </c>
      <c r="H12" s="193" t="s">
        <v>29</v>
      </c>
      <c r="I12" s="193" t="s">
        <v>28</v>
      </c>
      <c r="J12" s="101" t="s">
        <v>71</v>
      </c>
      <c r="K12" s="2"/>
      <c r="L12" s="2"/>
      <c r="M12" s="2"/>
    </row>
    <row r="13" spans="1:13" ht="20.100000000000001" customHeight="1" x14ac:dyDescent="0.3">
      <c r="A13" s="203">
        <f>alap!I1</f>
        <v>88</v>
      </c>
      <c r="B13" s="387" t="s">
        <v>111</v>
      </c>
      <c r="C13" s="388"/>
      <c r="D13" s="103">
        <f>COUNTIFS(alap!L6:L199,"&lt;20")</f>
        <v>119</v>
      </c>
      <c r="E13" s="103">
        <f>COUNTIFS(alap!M6:M199,"&lt;20")</f>
        <v>94</v>
      </c>
      <c r="F13" s="103">
        <f>COUNTIFS(alap!N6:N199,"&lt;20")</f>
        <v>74</v>
      </c>
      <c r="G13" s="103">
        <f>COUNTIFS(alap!O6:O199,"&lt;20")</f>
        <v>0</v>
      </c>
      <c r="H13" s="103">
        <f>COUNTIFS(alap!P6:P199,"&lt;20")</f>
        <v>0</v>
      </c>
      <c r="I13" s="103">
        <f>COUNTIFS(alap!Q6:Q199,"&lt;20")</f>
        <v>0</v>
      </c>
      <c r="J13" s="103">
        <f>COUNTIFS(alap!AO6:AO199,"&gt;0")</f>
        <v>155</v>
      </c>
      <c r="K13" s="2"/>
      <c r="L13" s="2"/>
      <c r="M13" s="2"/>
    </row>
    <row r="14" spans="1:13" ht="20.100000000000001" customHeight="1" x14ac:dyDescent="0.3">
      <c r="A14" s="185" t="s">
        <v>99</v>
      </c>
      <c r="B14" s="187" t="s">
        <v>92</v>
      </c>
      <c r="C14" s="200"/>
      <c r="D14" s="201">
        <f>COUNTIFS(alap!L6:L199,"&lt;20",alap!E6:E199,"felnőtt")</f>
        <v>102</v>
      </c>
      <c r="E14" s="201">
        <f>COUNTIFS(alap!M6:M199,"&lt;20",alap!E6:E199,"felnőtt")</f>
        <v>78</v>
      </c>
      <c r="F14" s="201">
        <f>COUNTIFS(alap!N6:N199,"&lt;20",alap!E6:E199,"felnőtt")</f>
        <v>63</v>
      </c>
      <c r="G14" s="201">
        <f>COUNTIFS(alap!O6:O199,"&lt;20",alap!E6:E199,"felnőtt")</f>
        <v>0</v>
      </c>
      <c r="H14" s="201">
        <f>COUNTIFS(alap!P6:P199,"&lt;20",alap!E6:E199,"felnőtt")</f>
        <v>0</v>
      </c>
      <c r="I14" s="201">
        <f>COUNTIFS(alap!Q6:Q199,"&lt;20",alap!E6:E199,"felnőtt")</f>
        <v>0</v>
      </c>
      <c r="J14" s="202">
        <f>COUNTIFS(alap!AO6:AO199,"&gt;0",alap!E6:E199,"felnőtt")</f>
        <v>134</v>
      </c>
      <c r="K14" s="2"/>
      <c r="L14" s="2"/>
      <c r="M14" s="2"/>
    </row>
    <row r="15" spans="1:13" ht="20.100000000000001" customHeight="1" x14ac:dyDescent="0.3">
      <c r="A15" s="91"/>
      <c r="B15" s="92" t="s">
        <v>93</v>
      </c>
      <c r="C15" s="95"/>
      <c r="D15" s="98">
        <f>COUNTIFS(alap!L6:L199,"&lt;20",alap!E6:E199,"női")</f>
        <v>4</v>
      </c>
      <c r="E15" s="98">
        <f>COUNTIFS(alap!M6:M199,"&lt;20",alap!E6:E199,"női")</f>
        <v>2</v>
      </c>
      <c r="F15" s="98">
        <f>COUNTIFS(alap!N6:N199,"&lt;20",alap!E6:E199,"női")</f>
        <v>1</v>
      </c>
      <c r="G15" s="98">
        <f>COUNTIFS(alap!O6:O199,"&lt;20",alap!E6:E199,"női")</f>
        <v>0</v>
      </c>
      <c r="H15" s="98">
        <f>COUNTIFS(alap!P6:P199,"&lt;20",alap!E6:E199,"női")</f>
        <v>0</v>
      </c>
      <c r="I15" s="98">
        <f>COUNTIFS(alap!Q6:Q199,"&lt;20",alap!E6:E199,"női")</f>
        <v>0</v>
      </c>
      <c r="J15" s="102">
        <f>COUNTIFS(alap!AO6:AO199,"&gt;0",alap!E6:E199,"női")</f>
        <v>4</v>
      </c>
      <c r="K15" s="2"/>
      <c r="L15" s="2"/>
      <c r="M15" s="2"/>
    </row>
    <row r="16" spans="1:13" ht="20.100000000000001" customHeight="1" x14ac:dyDescent="0.3">
      <c r="A16" s="91"/>
      <c r="B16" s="92" t="s">
        <v>11</v>
      </c>
      <c r="C16" s="95"/>
      <c r="D16" s="98">
        <f>COUNTIFS(alap!L6:L199,"&lt;20",alap!E6:E199,"ifjúsági")</f>
        <v>7</v>
      </c>
      <c r="E16" s="98">
        <f>COUNTIFS(alap!M6:M199,"&lt;20",alap!E6:E199,"ifjúsági")</f>
        <v>7</v>
      </c>
      <c r="F16" s="98">
        <f>COUNTIFS(alap!N6:N199,"&lt;20",alap!E6:E199,"ifjúsági")</f>
        <v>5</v>
      </c>
      <c r="G16" s="98">
        <f>COUNTIFS(alap!O6:O199,"&lt;20",alap!E6:E199,"ifjúsági")</f>
        <v>0</v>
      </c>
      <c r="H16" s="98">
        <f>COUNTIFS(alap!P6:P199,"&lt;20",alap!E6:E199,"ifjúsági")</f>
        <v>0</v>
      </c>
      <c r="I16" s="98">
        <f>COUNTIFS(alap!Q6:Q199,"&lt;20",alap!E6:E199,"ifjúsági")</f>
        <v>0</v>
      </c>
      <c r="J16" s="102">
        <f>COUNTIFS(alap!AO6:AO199,"&gt;0",alap!E6:E199,"ifjúsági")</f>
        <v>8</v>
      </c>
      <c r="K16" s="2"/>
      <c r="L16" s="2"/>
      <c r="M16" s="2"/>
    </row>
    <row r="17" spans="1:14" ht="20.100000000000001" customHeight="1" x14ac:dyDescent="0.3">
      <c r="A17" s="196"/>
      <c r="B17" s="197" t="s">
        <v>10</v>
      </c>
      <c r="C17" s="198"/>
      <c r="D17" s="194">
        <f>COUNTIFS(alap!L6:L199,"&lt;20",alap!E6:E199,"gyermek")</f>
        <v>6</v>
      </c>
      <c r="E17" s="194">
        <f>COUNTIFS(alap!M6:M199,"&lt;20",alap!E6:E199,"gyermek")</f>
        <v>7</v>
      </c>
      <c r="F17" s="194">
        <f>COUNTIFS(alap!N6:N199,"&lt;20",alap!E6:E199,"gyermek")</f>
        <v>5</v>
      </c>
      <c r="G17" s="194">
        <f>COUNTIFS(alap!O6:O199,"&lt;20",alap!E6:E199,"gyermek")</f>
        <v>0</v>
      </c>
      <c r="H17" s="194">
        <f>COUNTIFS(alap!P6:P199,"&lt;20",alap!E6:E199,"gyermek")</f>
        <v>0</v>
      </c>
      <c r="I17" s="194">
        <f>COUNTIFS(alap!Q6:Q199,"&lt;20",alap!E6:E199,"gyermek")</f>
        <v>0</v>
      </c>
      <c r="J17" s="195">
        <f>COUNTIFS(alap!AO6:AO199,"&gt;0",alap!E6:E199,"gyermek")</f>
        <v>9</v>
      </c>
      <c r="K17" s="2"/>
      <c r="L17" s="2"/>
      <c r="M17" s="2"/>
    </row>
    <row r="18" spans="1:14" ht="20.100000000000001" customHeight="1" x14ac:dyDescent="0.3">
      <c r="A18" s="93"/>
      <c r="B18" s="105" t="s">
        <v>112</v>
      </c>
      <c r="C18" s="97"/>
      <c r="D18" s="199">
        <f>COUNTIFS(alap!L6:L199,"&lt;20",alap!F6:F199,"1")</f>
        <v>0</v>
      </c>
      <c r="E18" s="199">
        <f>COUNTIFS(alap!M6:M199,"&lt;20",alap!F6:F199,"1")</f>
        <v>0</v>
      </c>
      <c r="F18" s="199">
        <f>COUNTIFS(alap!N6:N199,"&lt;20",alap!F6:F199,"1")</f>
        <v>0</v>
      </c>
      <c r="G18" s="199">
        <f>COUNTIFS(alap!O6:O199,"&lt;20",alap!F6:F199,"1")</f>
        <v>0</v>
      </c>
      <c r="H18" s="199">
        <f>COUNTIFS(alap!P6:P199,"&lt;20",alap!F6:F199,"1")</f>
        <v>0</v>
      </c>
      <c r="I18" s="199">
        <f>COUNTIFS(alap!Q6:Q199,"&lt;20",alap!F6:F199,"1")</f>
        <v>0</v>
      </c>
      <c r="J18" s="107">
        <f>COUNTIFS(alap!AO6:AO199,"&gt;0",alap!F6:F199,"1")</f>
        <v>0</v>
      </c>
      <c r="K18" s="2"/>
      <c r="L18" s="2"/>
      <c r="M18" s="2"/>
    </row>
    <row r="19" spans="1:14" ht="6.9" customHeight="1" x14ac:dyDescent="0.3">
      <c r="A19" s="2"/>
      <c r="B19" s="2"/>
      <c r="C19" s="2"/>
      <c r="D19" s="106"/>
      <c r="E19" s="2"/>
      <c r="F19" s="2"/>
      <c r="G19" s="2"/>
      <c r="H19" s="2"/>
      <c r="I19" s="2"/>
      <c r="J19" s="2"/>
      <c r="K19" s="2"/>
      <c r="L19" s="2"/>
      <c r="M19" s="2"/>
    </row>
    <row r="20" spans="1:14" ht="20.100000000000001" customHeight="1" x14ac:dyDescent="0.3">
      <c r="A20" s="108" t="s">
        <v>99</v>
      </c>
      <c r="B20" s="116" t="s">
        <v>116</v>
      </c>
      <c r="C20" s="109"/>
      <c r="D20" s="110">
        <f>COUNTIFS(alap!L6:L199,"&lt;20",alap!D6:D199,"method feeder")</f>
        <v>47</v>
      </c>
      <c r="E20" s="110">
        <f>COUNTIFS(alap!M6:M199,"&lt;20",alap!D6:D199,"method feeder")</f>
        <v>35</v>
      </c>
      <c r="F20" s="110">
        <f>COUNTIFS(alap!N6:N199,"&lt;20",alap!D6:D199,"method feeder")</f>
        <v>20</v>
      </c>
      <c r="G20" s="110">
        <f>COUNTIFS(alap!O6:O199,"&lt;20",alap!D6:D199,"method feeder")</f>
        <v>0</v>
      </c>
      <c r="H20" s="110">
        <f>COUNTIFS(alap!P6:P199,"&lt;20",alap!D6:D199,"method feeder")</f>
        <v>0</v>
      </c>
      <c r="I20" s="110">
        <f>COUNTIFS(alap!Q6:Q199,"&lt;20",alap!D6:D199,"method feeder")</f>
        <v>0</v>
      </c>
      <c r="J20" s="99">
        <f>COUNTIFS(alap!AO6:AO199,"&gt;0",alap!D6:D199,"method feeder")</f>
        <v>63</v>
      </c>
      <c r="K20" s="2"/>
      <c r="L20" s="2"/>
      <c r="M20" s="2"/>
      <c r="N20" s="51"/>
    </row>
    <row r="21" spans="1:14" ht="20.100000000000001" customHeight="1" x14ac:dyDescent="0.3">
      <c r="A21" s="185"/>
      <c r="B21" s="188" t="s">
        <v>113</v>
      </c>
      <c r="C21" s="186"/>
      <c r="D21" s="110">
        <f>COUNTIFS(alap!L6:L199,"&lt;20",alap!D6:D199,"feeder")</f>
        <v>29</v>
      </c>
      <c r="E21" s="110">
        <f>COUNTIFS(alap!M6:M199,"&lt;20",alap!D6:D199,"feeder")</f>
        <v>18</v>
      </c>
      <c r="F21" s="110">
        <f>COUNTIFS(alap!N6:N199,"&lt;20",alap!D6:D199,"feeder")</f>
        <v>26</v>
      </c>
      <c r="G21" s="110">
        <f>COUNTIFS(alap!O6:O199,"&lt;20",alap!D6:D199,"feeder")</f>
        <v>0</v>
      </c>
      <c r="H21" s="110">
        <f>COUNTIFS(alap!P6:P199,"&lt;20",alap!D6:D199,"feeder")</f>
        <v>0</v>
      </c>
      <c r="I21" s="110">
        <f>COUNTIFS(alap!Q6:Q199,"&lt;20",alap!D6:D199,"feeder")</f>
        <v>0</v>
      </c>
      <c r="J21" s="99">
        <f>COUNTIFS(alap!AO6:AO199,"&gt;0",alap!D6:D199,"feeder")</f>
        <v>39</v>
      </c>
      <c r="K21" s="2"/>
      <c r="L21" s="2"/>
      <c r="M21" s="2"/>
      <c r="N21" s="51"/>
    </row>
    <row r="22" spans="1:14" ht="20.100000000000001" customHeight="1" x14ac:dyDescent="0.3">
      <c r="A22" s="91"/>
      <c r="B22" s="111" t="s">
        <v>9</v>
      </c>
      <c r="C22" s="112"/>
      <c r="D22" s="113">
        <f>COUNTIFS(alap!L6:L199,"&lt;20",alap!D6:D199,"úszós")</f>
        <v>37</v>
      </c>
      <c r="E22" s="113">
        <f>COUNTIFS(alap!M6:M199,"&lt;20",alap!D6:D199,"úszós")</f>
        <v>34</v>
      </c>
      <c r="F22" s="113">
        <f>COUNTIFS(alap!N6:N199,"&lt;20",alap!D6:D199,"úszós")</f>
        <v>23</v>
      </c>
      <c r="G22" s="113">
        <f>COUNTIFS(alap!O6:O199,"&lt;20",alap!D6:D199,"úszós")</f>
        <v>0</v>
      </c>
      <c r="H22" s="113">
        <f>COUNTIFS(alap!P6:P199,"&lt;20",alap!D6:D199,"úszós")</f>
        <v>0</v>
      </c>
      <c r="I22" s="113">
        <f>COUNTIFS(alap!Q6:Q199,"&lt;20",alap!D6:D199,"úszós")</f>
        <v>0</v>
      </c>
      <c r="J22" s="114">
        <f>COUNTIFS(alap!AO6:AO199,"&gt;0",alap!D6:D199,"úszós")</f>
        <v>44</v>
      </c>
      <c r="K22" s="2"/>
      <c r="L22" s="2"/>
      <c r="M22" s="2"/>
    </row>
    <row r="23" spans="1:14" ht="20.100000000000001" customHeight="1" x14ac:dyDescent="0.3">
      <c r="A23" s="93"/>
      <c r="B23" s="105" t="s">
        <v>10</v>
      </c>
      <c r="C23" s="94"/>
      <c r="D23" s="106">
        <f>COUNTIFS(alap!L6:L199,"&lt;20",alap!D6:D199,"gy")</f>
        <v>6</v>
      </c>
      <c r="E23" s="106">
        <f>COUNTIFS(alap!M6:M199,"&lt;20",alap!D6:D199,"gy")</f>
        <v>7</v>
      </c>
      <c r="F23" s="106">
        <f>COUNTIFS(alap!N6:N199,"&lt;20",alap!D6:D199,"gy")</f>
        <v>5</v>
      </c>
      <c r="G23" s="106">
        <f>COUNTIFS(alap!O6:O199,"&lt;20",alap!D6:D199,"gy")</f>
        <v>0</v>
      </c>
      <c r="H23" s="106">
        <f>COUNTIFS(alap!P6:P199,"&lt;20",alap!D6:D199,"gy")</f>
        <v>0</v>
      </c>
      <c r="I23" s="106">
        <f>COUNTIFS(alap!Q6:Q199,"&lt;20",alap!D6:D199,"gy")</f>
        <v>0</v>
      </c>
      <c r="J23" s="107">
        <f>COUNTIFS(alap!AO6:AO199,"&gt;0",alap!D6:D199,"gy")</f>
        <v>9</v>
      </c>
      <c r="K23" s="2"/>
      <c r="L23" s="2"/>
      <c r="M23" s="2"/>
    </row>
    <row r="24" spans="1:14" ht="6.9" customHeight="1" x14ac:dyDescent="0.3">
      <c r="A24" s="17"/>
      <c r="B24" s="17"/>
      <c r="C24" s="17"/>
      <c r="D24" s="85"/>
      <c r="E24" s="85"/>
      <c r="F24" s="85"/>
      <c r="G24" s="85"/>
      <c r="H24" s="85"/>
      <c r="I24" s="85"/>
      <c r="J24" s="85"/>
      <c r="K24" s="2"/>
      <c r="L24" s="2"/>
      <c r="M24" s="2"/>
    </row>
    <row r="25" spans="1:14" ht="20.100000000000001" customHeight="1" x14ac:dyDescent="0.3">
      <c r="A25" s="104" t="s">
        <v>89</v>
      </c>
      <c r="B25" s="87"/>
      <c r="C25" s="88"/>
      <c r="D25" s="119">
        <f>SUM(alap!T6:T199)</f>
        <v>1366045</v>
      </c>
      <c r="E25" s="119">
        <f>SUM(alap!U6:U199)</f>
        <v>1263775</v>
      </c>
      <c r="F25" s="119">
        <f>SUM(alap!V6:V199)</f>
        <v>780380</v>
      </c>
      <c r="G25" s="119">
        <f>SUM(alap!W6:W199)</f>
        <v>0</v>
      </c>
      <c r="H25" s="119">
        <f>SUM(alap!X6:X199)</f>
        <v>0</v>
      </c>
      <c r="I25" s="119">
        <f>SUM(alap!Y6:Y199)</f>
        <v>0</v>
      </c>
      <c r="J25" s="119">
        <f>SUM(alap!Z6:Z199)</f>
        <v>3410200</v>
      </c>
      <c r="K25" s="2"/>
      <c r="L25" s="58"/>
      <c r="M25" s="2"/>
      <c r="N25" s="51"/>
    </row>
    <row r="26" spans="1:14" ht="20.100000000000001" customHeight="1" x14ac:dyDescent="0.3">
      <c r="A26" s="108" t="s">
        <v>99</v>
      </c>
      <c r="B26" s="115" t="s">
        <v>116</v>
      </c>
      <c r="C26" s="116"/>
      <c r="D26" s="120">
        <f>SUMIFS(alap!T6:T199,alap!D6:D199,"method feeder")</f>
        <v>476425</v>
      </c>
      <c r="E26" s="120">
        <f>SUMIFS(alap!U6:U199,alap!D6:D199,"method feeder")</f>
        <v>414815</v>
      </c>
      <c r="F26" s="120">
        <f>SUMIFS(alap!V6:V199,alap!D6:D199,"method feeder")</f>
        <v>146475</v>
      </c>
      <c r="G26" s="120">
        <f>SUMIFS(alap!W6:W199,alap!D6:D199,"method feeder")</f>
        <v>0</v>
      </c>
      <c r="H26" s="120">
        <f>SUMIFS(alap!X6:X199,alap!D6:D199,"method feeder")</f>
        <v>0</v>
      </c>
      <c r="I26" s="120">
        <f>SUMIFS(alap!Y6:Y199,alap!D6:D199,"method feeder")</f>
        <v>0</v>
      </c>
      <c r="J26" s="121">
        <f>SUM(D26:I26)</f>
        <v>1037715</v>
      </c>
      <c r="K26" s="2"/>
      <c r="L26" s="58"/>
      <c r="M26" s="2"/>
    </row>
    <row r="27" spans="1:14" ht="20.100000000000001" customHeight="1" x14ac:dyDescent="0.3">
      <c r="A27" s="185"/>
      <c r="B27" s="187" t="s">
        <v>113</v>
      </c>
      <c r="C27" s="188"/>
      <c r="D27" s="120">
        <f>SUMIFS(alap!T6:T199,alap!D6:D199,"feeder")</f>
        <v>258500</v>
      </c>
      <c r="E27" s="120">
        <f>SUMIFS(alap!U6:U199,alap!D6:D199,"feeder")</f>
        <v>171800</v>
      </c>
      <c r="F27" s="120">
        <f>SUMIFS(alap!V6:V199,alap!D6:D199,"feeder")</f>
        <v>342505</v>
      </c>
      <c r="G27" s="120">
        <f>SUMIFS(alap!W6:W199,alap!D6:D199,"feeder")</f>
        <v>0</v>
      </c>
      <c r="H27" s="120">
        <f>SUMIFS(alap!X6:X199,alap!D6:D199,"feeder")</f>
        <v>0</v>
      </c>
      <c r="I27" s="120">
        <f>SUMIFS(alap!Y6:Y199,alap!D6:D199,"feeder")</f>
        <v>0</v>
      </c>
      <c r="J27" s="121">
        <f>SUM(D27:I27)</f>
        <v>772805</v>
      </c>
      <c r="K27" s="2"/>
      <c r="L27" s="58"/>
      <c r="M27" s="2"/>
    </row>
    <row r="28" spans="1:14" ht="20.100000000000001" customHeight="1" x14ac:dyDescent="0.3">
      <c r="A28" s="91"/>
      <c r="B28" s="92" t="s">
        <v>9</v>
      </c>
      <c r="C28" s="117"/>
      <c r="D28" s="122">
        <f>SUMIFS(alap!T6:T199,alap!D6:D199,"úszós")</f>
        <v>609845</v>
      </c>
      <c r="E28" s="122">
        <f>SUMIFS(alap!U6:U199,alap!D6:D199,"úszós")</f>
        <v>649610</v>
      </c>
      <c r="F28" s="122">
        <f>SUMIFS(alap!V6:V199,alap!D6:D199,"úszós")</f>
        <v>257625</v>
      </c>
      <c r="G28" s="122">
        <f>SUMIFS(alap!W6:W199,alap!D6:D199,"úszós")</f>
        <v>0</v>
      </c>
      <c r="H28" s="122">
        <f>SUMIFS(alap!X6:X199,alap!D6:D199,"úszós")</f>
        <v>0</v>
      </c>
      <c r="I28" s="122">
        <f>SUMIFS(alap!Y6:Y199,alap!D6:D199,"úszós")</f>
        <v>0</v>
      </c>
      <c r="J28" s="123">
        <f>SUM(D28:I28)</f>
        <v>1517080</v>
      </c>
      <c r="K28" s="2"/>
      <c r="L28" s="58"/>
      <c r="M28" s="2"/>
    </row>
    <row r="29" spans="1:14" ht="20.100000000000001" customHeight="1" x14ac:dyDescent="0.3">
      <c r="A29" s="93"/>
      <c r="B29" s="96" t="s">
        <v>10</v>
      </c>
      <c r="C29" s="94"/>
      <c r="D29" s="124">
        <f>SUMIFS(alap!T6:T199,alap!D6:D199,"gy")</f>
        <v>21275</v>
      </c>
      <c r="E29" s="124">
        <f>SUMIFS(alap!U6:U199,alap!D6:D199,"gy")</f>
        <v>27550</v>
      </c>
      <c r="F29" s="124">
        <f>SUMIFS(alap!V6:V199,alap!D6:D199,"gy")</f>
        <v>33775</v>
      </c>
      <c r="G29" s="124">
        <f>SUMIFS(alap!W6:W199,alap!D6:D199,"gy")</f>
        <v>0</v>
      </c>
      <c r="H29" s="124">
        <f>SUMIFS(alap!X6:X199,alap!D6:D199,"gy")</f>
        <v>0</v>
      </c>
      <c r="I29" s="124">
        <f>SUMIFS(alap!Y6:Y199,alap!D6:D199,"gy")</f>
        <v>0</v>
      </c>
      <c r="J29" s="125">
        <f>SUM(D29:I29)</f>
        <v>82600</v>
      </c>
      <c r="K29" s="2"/>
      <c r="L29" s="58"/>
      <c r="M29" s="2"/>
    </row>
    <row r="30" spans="1:14" ht="20.100000000000001" customHeight="1" x14ac:dyDescent="0.3">
      <c r="A30" s="284" t="s">
        <v>100</v>
      </c>
      <c r="B30" s="87"/>
      <c r="C30" s="87"/>
      <c r="D30" s="118">
        <f>IF(D13=0,0,D25/D13)</f>
        <v>11479.36974789916</v>
      </c>
      <c r="E30" s="118">
        <f t="shared" ref="E30:J30" si="0">IF(E13=0,0,E25/E13)</f>
        <v>13444.41489361702</v>
      </c>
      <c r="F30" s="118">
        <f t="shared" si="0"/>
        <v>10545.675675675675</v>
      </c>
      <c r="G30" s="118">
        <f t="shared" si="0"/>
        <v>0</v>
      </c>
      <c r="H30" s="118">
        <f t="shared" si="0"/>
        <v>0</v>
      </c>
      <c r="I30" s="118">
        <f t="shared" si="0"/>
        <v>0</v>
      </c>
      <c r="J30" s="119">
        <f t="shared" si="0"/>
        <v>22001.290322580644</v>
      </c>
      <c r="K30" s="2"/>
      <c r="L30" s="2"/>
      <c r="M30" s="2"/>
    </row>
    <row r="31" spans="1:14" ht="6.9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4" ht="18" customHeight="1" x14ac:dyDescent="0.3">
      <c r="A32" s="381" t="s">
        <v>101</v>
      </c>
      <c r="B32" s="382"/>
      <c r="C32" s="383"/>
      <c r="D32" s="90" t="s">
        <v>94</v>
      </c>
      <c r="E32" s="90" t="s">
        <v>95</v>
      </c>
      <c r="F32" s="90" t="s">
        <v>96</v>
      </c>
      <c r="G32" s="90" t="s">
        <v>97</v>
      </c>
      <c r="H32" s="90" t="s">
        <v>98</v>
      </c>
      <c r="I32" s="90" t="s">
        <v>193</v>
      </c>
      <c r="J32" s="101" t="s">
        <v>102</v>
      </c>
      <c r="K32" s="2"/>
      <c r="L32" s="2"/>
      <c r="M32" s="2"/>
    </row>
    <row r="33" spans="1:13" ht="18" customHeight="1" x14ac:dyDescent="0.3">
      <c r="A33" s="384"/>
      <c r="B33" s="385"/>
      <c r="C33" s="386"/>
      <c r="D33" s="79">
        <f>COUNTIFS(alap!AO6:AO199,1)</f>
        <v>70</v>
      </c>
      <c r="E33" s="79">
        <f>COUNTIFS(alap!AO6:AO199,2)</f>
        <v>38</v>
      </c>
      <c r="F33" s="79">
        <f>COUNTIFS(alap!AO6:AO199,3)</f>
        <v>47</v>
      </c>
      <c r="G33" s="79">
        <f>COUNTIFS(alap!AO6:AO199,4)</f>
        <v>0</v>
      </c>
      <c r="H33" s="79">
        <f>COUNTIFS(alap!AO6:AO199,5)</f>
        <v>0</v>
      </c>
      <c r="I33" s="86">
        <f>COUNTIFS(alap!AO6:AO199,6)</f>
        <v>0</v>
      </c>
      <c r="J33" s="103">
        <f>SUM(D33:I33)</f>
        <v>155</v>
      </c>
      <c r="K33" s="2"/>
      <c r="L33" s="2"/>
      <c r="M33" s="2"/>
    </row>
    <row r="34" spans="1:13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</sheetData>
  <sheetProtection password="C71F" sheet="1" objects="1" scenarios="1"/>
  <mergeCells count="9">
    <mergeCell ref="A3:E3"/>
    <mergeCell ref="A32:C33"/>
    <mergeCell ref="B13:C13"/>
    <mergeCell ref="G5:H5"/>
    <mergeCell ref="G6:H6"/>
    <mergeCell ref="G7:H7"/>
    <mergeCell ref="G8:H8"/>
    <mergeCell ref="G9:H9"/>
    <mergeCell ref="G10:H10"/>
  </mergeCells>
  <conditionalFormatting sqref="D14:D17">
    <cfRule type="dataBar" priority="35">
      <dataBar>
        <cfvo type="min"/>
        <cfvo type="max"/>
        <color rgb="FF638EC6"/>
      </dataBar>
    </cfRule>
  </conditionalFormatting>
  <conditionalFormatting sqref="E14:E17">
    <cfRule type="dataBar" priority="34">
      <dataBar>
        <cfvo type="min"/>
        <cfvo type="max"/>
        <color rgb="FF63C384"/>
      </dataBar>
    </cfRule>
  </conditionalFormatting>
  <conditionalFormatting sqref="F14:F17">
    <cfRule type="dataBar" priority="33">
      <dataBar>
        <cfvo type="min"/>
        <cfvo type="max"/>
        <color rgb="FFFF555A"/>
      </dataBar>
    </cfRule>
  </conditionalFormatting>
  <conditionalFormatting sqref="G14:G17">
    <cfRule type="dataBar" priority="32">
      <dataBar>
        <cfvo type="min"/>
        <cfvo type="max"/>
        <color rgb="FFFFB628"/>
      </dataBar>
    </cfRule>
  </conditionalFormatting>
  <conditionalFormatting sqref="D20:D23">
    <cfRule type="dataBar" priority="29">
      <dataBar>
        <cfvo type="min"/>
        <cfvo type="max"/>
        <color rgb="FF638EC6"/>
      </dataBar>
    </cfRule>
  </conditionalFormatting>
  <conditionalFormatting sqref="E20:E23">
    <cfRule type="dataBar" priority="28">
      <dataBar>
        <cfvo type="min"/>
        <cfvo type="max"/>
        <color rgb="FF63C384"/>
      </dataBar>
    </cfRule>
  </conditionalFormatting>
  <conditionalFormatting sqref="F20:F23">
    <cfRule type="dataBar" priority="27">
      <dataBar>
        <cfvo type="min"/>
        <cfvo type="max"/>
        <color rgb="FFFF555A"/>
      </dataBar>
    </cfRule>
  </conditionalFormatting>
  <conditionalFormatting sqref="G20:G23">
    <cfRule type="dataBar" priority="26">
      <dataBar>
        <cfvo type="min"/>
        <cfvo type="max"/>
        <color rgb="FFFFB628"/>
      </dataBar>
    </cfRule>
  </conditionalFormatting>
  <conditionalFormatting sqref="I20:I23">
    <cfRule type="dataBar" priority="9">
      <dataBar>
        <cfvo type="min"/>
        <cfvo type="max"/>
        <color theme="3" tint="0.59999389629810485"/>
      </dataBar>
    </cfRule>
  </conditionalFormatting>
  <conditionalFormatting sqref="J20:J23">
    <cfRule type="dataBar" priority="12">
      <dataBar>
        <cfvo type="min"/>
        <cfvo type="max"/>
        <color rgb="FFFAA0E9"/>
      </dataBar>
    </cfRule>
  </conditionalFormatting>
  <conditionalFormatting sqref="D26:D29">
    <cfRule type="dataBar" priority="23">
      <dataBar>
        <cfvo type="min"/>
        <cfvo type="max"/>
        <color rgb="FF638EC6"/>
      </dataBar>
    </cfRule>
  </conditionalFormatting>
  <conditionalFormatting sqref="E26:E29">
    <cfRule type="dataBar" priority="22">
      <dataBar>
        <cfvo type="min"/>
        <cfvo type="max"/>
        <color rgb="FF63C384"/>
      </dataBar>
    </cfRule>
  </conditionalFormatting>
  <conditionalFormatting sqref="F26:F29">
    <cfRule type="dataBar" priority="21">
      <dataBar>
        <cfvo type="min"/>
        <cfvo type="max"/>
        <color rgb="FFFF555A"/>
      </dataBar>
    </cfRule>
  </conditionalFormatting>
  <conditionalFormatting sqref="G26:G29">
    <cfRule type="dataBar" priority="20">
      <dataBar>
        <cfvo type="min"/>
        <cfvo type="max"/>
        <color rgb="FFFFB628"/>
      </dataBar>
    </cfRule>
  </conditionalFormatting>
  <conditionalFormatting sqref="I26:I29">
    <cfRule type="dataBar" priority="8">
      <dataBar>
        <cfvo type="min"/>
        <cfvo type="max"/>
        <color theme="3" tint="0.59999389629810485"/>
      </dataBar>
    </cfRule>
  </conditionalFormatting>
  <conditionalFormatting sqref="J26:J29">
    <cfRule type="dataBar" priority="13">
      <dataBar>
        <cfvo type="min"/>
        <cfvo type="max"/>
        <color rgb="FFFAA0E9"/>
      </dataBar>
    </cfRule>
    <cfRule type="dataBar" priority="14">
      <dataBar>
        <cfvo type="min"/>
        <cfvo type="max"/>
        <color rgb="FFFCBCF0"/>
      </dataBar>
    </cfRule>
  </conditionalFormatting>
  <conditionalFormatting sqref="D13:J18 D20:J23 D25:J30 D33:J33">
    <cfRule type="cellIs" dxfId="14" priority="7" operator="equal">
      <formula>0</formula>
    </cfRule>
  </conditionalFormatting>
  <conditionalFormatting sqref="I14:I17">
    <cfRule type="dataBar" priority="10">
      <dataBar>
        <cfvo type="min"/>
        <cfvo type="max"/>
        <color theme="3" tint="0.59999389629810485"/>
      </dataBar>
    </cfRule>
  </conditionalFormatting>
  <conditionalFormatting sqref="J14:J17">
    <cfRule type="dataBar" priority="11">
      <dataBar>
        <cfvo type="min"/>
        <cfvo type="max"/>
        <color rgb="FFFAA0E9"/>
      </dataBar>
    </cfRule>
  </conditionalFormatting>
  <conditionalFormatting sqref="H14:H17">
    <cfRule type="dataBar" priority="3">
      <dataBar>
        <cfvo type="min"/>
        <cfvo type="max"/>
        <color rgb="FFA7FF4F"/>
      </dataBar>
    </cfRule>
  </conditionalFormatting>
  <conditionalFormatting sqref="H20:H23">
    <cfRule type="dataBar" priority="2">
      <dataBar>
        <cfvo type="min"/>
        <cfvo type="max"/>
        <color rgb="FFA7FF4F"/>
      </dataBar>
    </cfRule>
  </conditionalFormatting>
  <conditionalFormatting sqref="H26:H29">
    <cfRule type="dataBar" priority="1">
      <dataBar>
        <cfvo type="min"/>
        <cfvo type="max"/>
        <color rgb="FFA7FF4F"/>
      </dataBar>
    </cfRule>
  </conditionalFormatting>
  <printOptions horizontalCentered="1"/>
  <pageMargins left="0.31496062992125984" right="0.31496062992125984" top="0.27559055118110237" bottom="0.27559055118110237" header="0.23622047244094491" footer="0.15748031496062992"/>
  <pageSetup paperSize="9" scale="9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">
    <tabColor rgb="FFFFC000"/>
  </sheetPr>
  <dimension ref="A1:I32"/>
  <sheetViews>
    <sheetView showGridLines="0" workbookViewId="0">
      <selection activeCell="A5" sqref="A5"/>
    </sheetView>
  </sheetViews>
  <sheetFormatPr defaultColWidth="9.109375" defaultRowHeight="14.4" x14ac:dyDescent="0.3"/>
  <cols>
    <col min="1" max="1" width="5.44140625" style="3" customWidth="1"/>
    <col min="2" max="2" width="22.6640625" style="3" customWidth="1"/>
    <col min="3" max="3" width="18.88671875" style="1" customWidth="1"/>
    <col min="4" max="4" width="16.6640625" style="2" customWidth="1"/>
    <col min="5" max="5" width="10.109375" style="54" customWidth="1"/>
    <col min="6" max="6" width="23.109375" style="2" customWidth="1"/>
    <col min="7" max="8" width="9.109375" style="2"/>
    <col min="9" max="9" width="17" style="2" customWidth="1"/>
    <col min="10" max="16384" width="9.109375" style="2"/>
  </cols>
  <sheetData>
    <row r="1" spans="1:9" x14ac:dyDescent="0.3">
      <c r="A1" s="84" t="str">
        <f>alap!A1</f>
        <v>XXIV. TÓPARTI RANDEVÚ - ST. HUBERTUS KUPA</v>
      </c>
      <c r="I1" s="16" t="s">
        <v>40</v>
      </c>
    </row>
    <row r="2" spans="1:9" ht="19.5" customHeight="1" x14ac:dyDescent="0.3">
      <c r="A2" s="1"/>
      <c r="C2" s="1" t="s">
        <v>434</v>
      </c>
      <c r="G2" s="32"/>
      <c r="I2" s="248" t="s">
        <v>438</v>
      </c>
    </row>
    <row r="3" spans="1:9" x14ac:dyDescent="0.3">
      <c r="A3" s="33" t="str">
        <f>alap!A3</f>
        <v>2022.06.11. szombat</v>
      </c>
    </row>
    <row r="4" spans="1:9" x14ac:dyDescent="0.3">
      <c r="A4" s="172"/>
      <c r="B4" s="172"/>
      <c r="C4" s="191"/>
      <c r="D4" s="168"/>
      <c r="E4" s="192"/>
      <c r="F4" s="168"/>
      <c r="G4" s="168"/>
      <c r="H4" s="168"/>
      <c r="I4" s="168"/>
    </row>
    <row r="5" spans="1:9" ht="19.5" customHeight="1" thickBot="1" x14ac:dyDescent="0.35">
      <c r="A5" s="4" t="s">
        <v>0</v>
      </c>
      <c r="B5" s="5" t="s">
        <v>1</v>
      </c>
      <c r="C5" s="5" t="s">
        <v>2</v>
      </c>
      <c r="D5" s="5" t="s">
        <v>4</v>
      </c>
      <c r="E5" s="6" t="s">
        <v>3</v>
      </c>
      <c r="F5" s="6" t="s">
        <v>5</v>
      </c>
      <c r="G5" s="41" t="s">
        <v>6</v>
      </c>
      <c r="H5" s="40" t="s">
        <v>7</v>
      </c>
      <c r="I5" s="4" t="s">
        <v>15</v>
      </c>
    </row>
    <row r="6" spans="1:9" ht="20.100000000000001" customHeight="1" thickTop="1" x14ac:dyDescent="0.3">
      <c r="A6" s="10">
        <v>123</v>
      </c>
      <c r="B6" s="11" t="s">
        <v>350</v>
      </c>
      <c r="C6" s="11" t="s">
        <v>351</v>
      </c>
      <c r="D6" s="11" t="s">
        <v>192</v>
      </c>
      <c r="E6" s="79" t="s">
        <v>10</v>
      </c>
      <c r="F6" s="11"/>
      <c r="G6" s="42" t="s">
        <v>352</v>
      </c>
      <c r="H6" s="43">
        <v>1</v>
      </c>
      <c r="I6" s="14"/>
    </row>
    <row r="7" spans="1:9" ht="20.100000000000001" customHeight="1" x14ac:dyDescent="0.3">
      <c r="A7" s="10">
        <v>134</v>
      </c>
      <c r="B7" s="11" t="s">
        <v>387</v>
      </c>
      <c r="C7" s="11" t="s">
        <v>315</v>
      </c>
      <c r="D7" s="11" t="s">
        <v>192</v>
      </c>
      <c r="E7" s="79" t="s">
        <v>10</v>
      </c>
      <c r="F7" s="11"/>
      <c r="G7" s="42" t="s">
        <v>352</v>
      </c>
      <c r="H7" s="43">
        <v>2</v>
      </c>
      <c r="I7" s="15"/>
    </row>
    <row r="8" spans="1:9" ht="20.100000000000001" customHeight="1" x14ac:dyDescent="0.3">
      <c r="A8" s="10">
        <v>144</v>
      </c>
      <c r="B8" s="11" t="s">
        <v>405</v>
      </c>
      <c r="C8" s="11" t="s">
        <v>146</v>
      </c>
      <c r="D8" s="11" t="s">
        <v>192</v>
      </c>
      <c r="E8" s="79" t="s">
        <v>10</v>
      </c>
      <c r="F8" s="11"/>
      <c r="G8" s="42" t="s">
        <v>352</v>
      </c>
      <c r="H8" s="43">
        <v>3</v>
      </c>
      <c r="I8" s="15"/>
    </row>
    <row r="9" spans="1:9" ht="20.100000000000001" customHeight="1" x14ac:dyDescent="0.3">
      <c r="A9" s="10">
        <v>143</v>
      </c>
      <c r="B9" s="13" t="s">
        <v>404</v>
      </c>
      <c r="C9" s="13" t="s">
        <v>146</v>
      </c>
      <c r="D9" s="13" t="s">
        <v>192</v>
      </c>
      <c r="E9" s="189" t="s">
        <v>10</v>
      </c>
      <c r="F9" s="11"/>
      <c r="G9" s="42" t="s">
        <v>352</v>
      </c>
      <c r="H9" s="43">
        <v>4</v>
      </c>
      <c r="I9" s="15"/>
    </row>
    <row r="10" spans="1:9" ht="20.100000000000001" customHeight="1" x14ac:dyDescent="0.3">
      <c r="A10" s="12">
        <v>116</v>
      </c>
      <c r="B10" s="11" t="s">
        <v>336</v>
      </c>
      <c r="C10" s="11" t="s">
        <v>315</v>
      </c>
      <c r="D10" s="11" t="s">
        <v>192</v>
      </c>
      <c r="E10" s="79" t="s">
        <v>10</v>
      </c>
      <c r="F10" s="11"/>
      <c r="G10" s="42" t="s">
        <v>352</v>
      </c>
      <c r="H10" s="43">
        <v>5</v>
      </c>
      <c r="I10" s="15"/>
    </row>
    <row r="11" spans="1:9" ht="20.100000000000001" customHeight="1" x14ac:dyDescent="0.3">
      <c r="A11" s="12"/>
      <c r="B11" s="11"/>
      <c r="C11" s="11"/>
      <c r="D11" s="11"/>
      <c r="E11" s="79"/>
      <c r="F11" s="11"/>
      <c r="G11" s="42"/>
      <c r="H11" s="43"/>
      <c r="I11" s="15"/>
    </row>
    <row r="12" spans="1:9" ht="20.100000000000001" customHeight="1" x14ac:dyDescent="0.3">
      <c r="A12" s="10"/>
      <c r="B12" s="11"/>
      <c r="C12" s="11"/>
      <c r="D12" s="11"/>
      <c r="E12" s="79"/>
      <c r="F12" s="11"/>
      <c r="G12" s="42"/>
      <c r="H12" s="43"/>
      <c r="I12" s="15"/>
    </row>
    <row r="13" spans="1:9" ht="20.100000000000001" customHeight="1" x14ac:dyDescent="0.3">
      <c r="A13" s="10"/>
      <c r="B13" s="11"/>
      <c r="C13" s="11"/>
      <c r="D13" s="11"/>
      <c r="E13" s="79"/>
      <c r="F13" s="11"/>
      <c r="G13" s="42"/>
      <c r="H13" s="43"/>
      <c r="I13" s="15"/>
    </row>
    <row r="14" spans="1:9" ht="20.100000000000001" customHeight="1" x14ac:dyDescent="0.3">
      <c r="A14" s="10"/>
      <c r="B14" s="11"/>
      <c r="C14" s="11"/>
      <c r="D14" s="11"/>
      <c r="E14" s="79"/>
      <c r="F14" s="11"/>
      <c r="G14" s="42"/>
      <c r="H14" s="43"/>
      <c r="I14" s="15"/>
    </row>
    <row r="15" spans="1:9" ht="20.100000000000001" customHeight="1" x14ac:dyDescent="0.3">
      <c r="A15" s="10"/>
      <c r="B15" s="11"/>
      <c r="C15" s="11"/>
      <c r="D15" s="11"/>
      <c r="E15" s="79"/>
      <c r="F15" s="11"/>
      <c r="G15" s="42"/>
      <c r="H15" s="43"/>
      <c r="I15" s="15"/>
    </row>
    <row r="16" spans="1:9" ht="20.100000000000001" customHeight="1" x14ac:dyDescent="0.3">
      <c r="A16" s="10"/>
      <c r="B16" s="11"/>
      <c r="C16" s="11"/>
      <c r="D16" s="11"/>
      <c r="E16" s="79"/>
      <c r="F16" s="11"/>
      <c r="G16" s="42"/>
      <c r="H16" s="43"/>
      <c r="I16" s="15"/>
    </row>
    <row r="17" spans="1:9" ht="20.100000000000001" customHeight="1" x14ac:dyDescent="0.3">
      <c r="A17" s="10"/>
      <c r="B17" s="13"/>
      <c r="C17" s="13"/>
      <c r="D17" s="13"/>
      <c r="E17" s="189"/>
      <c r="F17" s="11"/>
      <c r="G17" s="42"/>
      <c r="H17" s="43"/>
      <c r="I17" s="15"/>
    </row>
    <row r="18" spans="1:9" ht="20.100000000000001" customHeight="1" x14ac:dyDescent="0.3">
      <c r="A18" s="10"/>
      <c r="B18" s="335"/>
      <c r="C18" s="335"/>
      <c r="D18" s="11"/>
      <c r="E18" s="79"/>
      <c r="F18" s="11"/>
      <c r="G18" s="42"/>
      <c r="H18" s="43"/>
      <c r="I18" s="10"/>
    </row>
    <row r="19" spans="1:9" ht="9.75" customHeight="1" thickBot="1" x14ac:dyDescent="0.35">
      <c r="A19" s="222"/>
      <c r="E19" s="3"/>
      <c r="H19" s="16"/>
      <c r="I19" s="38"/>
    </row>
    <row r="20" spans="1:9" ht="5.0999999999999996" customHeight="1" x14ac:dyDescent="0.3">
      <c r="A20" s="223"/>
      <c r="B20" s="224"/>
      <c r="C20" s="225"/>
      <c r="D20" s="226"/>
      <c r="E20" s="224"/>
      <c r="F20" s="226"/>
      <c r="G20" s="226"/>
      <c r="H20" s="226"/>
      <c r="I20" s="227"/>
    </row>
    <row r="21" spans="1:9" x14ac:dyDescent="0.3">
      <c r="A21" s="228"/>
      <c r="B21" s="229"/>
      <c r="C21" s="230"/>
      <c r="D21" s="231"/>
      <c r="E21" s="229"/>
      <c r="F21" s="231"/>
      <c r="G21" s="231"/>
      <c r="H21" s="231"/>
      <c r="I21" s="232"/>
    </row>
    <row r="22" spans="1:9" ht="20.100000000000001" customHeight="1" x14ac:dyDescent="0.3">
      <c r="A22" s="228"/>
      <c r="B22" s="229"/>
      <c r="C22" s="230"/>
      <c r="D22" s="231"/>
      <c r="E22" s="229"/>
      <c r="F22" s="231"/>
      <c r="G22" s="231"/>
      <c r="H22" s="231"/>
      <c r="I22" s="232"/>
    </row>
    <row r="23" spans="1:9" ht="20.100000000000001" customHeight="1" x14ac:dyDescent="0.3">
      <c r="A23" s="228"/>
      <c r="B23" s="229"/>
      <c r="C23" s="230"/>
      <c r="D23" s="231"/>
      <c r="E23" s="229"/>
      <c r="F23" s="231"/>
      <c r="G23" s="231"/>
      <c r="H23" s="231"/>
      <c r="I23" s="232"/>
    </row>
    <row r="24" spans="1:9" ht="20.100000000000001" customHeight="1" x14ac:dyDescent="0.3">
      <c r="A24" s="228"/>
      <c r="B24" s="229"/>
      <c r="C24" s="230"/>
      <c r="D24" s="231"/>
      <c r="E24" s="229"/>
      <c r="F24" s="231"/>
      <c r="G24" s="231"/>
      <c r="H24" s="231"/>
      <c r="I24" s="232"/>
    </row>
    <row r="25" spans="1:9" ht="20.100000000000001" customHeight="1" x14ac:dyDescent="0.3">
      <c r="A25" s="228"/>
      <c r="B25" s="229"/>
      <c r="C25" s="230"/>
      <c r="D25" s="231"/>
      <c r="E25" s="229"/>
      <c r="F25" s="231"/>
      <c r="G25" s="231"/>
      <c r="H25" s="231"/>
      <c r="I25" s="232"/>
    </row>
    <row r="26" spans="1:9" ht="20.100000000000001" customHeight="1" x14ac:dyDescent="0.3">
      <c r="A26" s="228"/>
      <c r="B26" s="229"/>
      <c r="C26" s="230"/>
      <c r="D26" s="231"/>
      <c r="E26" s="229"/>
      <c r="F26" s="231"/>
      <c r="G26" s="231"/>
      <c r="H26" s="231"/>
      <c r="I26" s="232"/>
    </row>
    <row r="27" spans="1:9" ht="20.100000000000001" customHeight="1" x14ac:dyDescent="0.3">
      <c r="A27" s="228"/>
      <c r="B27" s="229"/>
      <c r="C27" s="230"/>
      <c r="D27" s="231"/>
      <c r="E27" s="229"/>
      <c r="F27" s="231"/>
      <c r="G27" s="231"/>
      <c r="H27" s="231"/>
      <c r="I27" s="232"/>
    </row>
    <row r="28" spans="1:9" ht="20.100000000000001" customHeight="1" x14ac:dyDescent="0.3">
      <c r="A28" s="228"/>
      <c r="B28" s="229"/>
      <c r="C28" s="230"/>
      <c r="D28" s="231"/>
      <c r="E28" s="229"/>
      <c r="F28" s="231"/>
      <c r="G28" s="231"/>
      <c r="H28" s="231"/>
      <c r="I28" s="232"/>
    </row>
    <row r="29" spans="1:9" ht="5.0999999999999996" customHeight="1" thickBot="1" x14ac:dyDescent="0.35">
      <c r="A29" s="233"/>
      <c r="B29" s="234"/>
      <c r="C29" s="235"/>
      <c r="D29" s="236"/>
      <c r="E29" s="234"/>
      <c r="F29" s="236"/>
      <c r="G29" s="236"/>
      <c r="H29" s="236"/>
      <c r="I29" s="237"/>
    </row>
    <row r="30" spans="1:9" x14ac:dyDescent="0.3">
      <c r="A30" s="222" t="s">
        <v>119</v>
      </c>
      <c r="E30" s="3"/>
    </row>
    <row r="31" spans="1:9" x14ac:dyDescent="0.3">
      <c r="A31" s="33" t="s">
        <v>16</v>
      </c>
      <c r="E31" s="3"/>
    </row>
    <row r="32" spans="1:9" x14ac:dyDescent="0.3">
      <c r="A32" s="33" t="s">
        <v>17</v>
      </c>
      <c r="E32" s="3"/>
    </row>
  </sheetData>
  <sortState xmlns:xlrd2="http://schemas.microsoft.com/office/spreadsheetml/2017/richdata2" ref="A6:H18">
    <sortCondition ref="H6:H18"/>
  </sortState>
  <printOptions horizontalCentered="1"/>
  <pageMargins left="0.51181102362204722" right="0.51181102362204722" top="0.31496062992125984" bottom="0.31496062992125984" header="0.15748031496062992" footer="0.27559055118110237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Button 4">
              <controlPr defaultSize="0" print="0" autoFill="0" autoPict="0" macro="[0]!Makró1_A">
                <anchor moveWithCells="1" sizeWithCells="1">
                  <from>
                    <xdr:col>2</xdr:col>
                    <xdr:colOff>800100</xdr:colOff>
                    <xdr:row>2</xdr:row>
                    <xdr:rowOff>144780</xdr:rowOff>
                  </from>
                  <to>
                    <xdr:col>2</xdr:col>
                    <xdr:colOff>1203960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Button 5">
              <controlPr defaultSize="0" print="0" autoFill="0" autoPict="0" macro="[0]!Makró2_B">
                <anchor moveWithCells="1" sizeWithCells="1">
                  <from>
                    <xdr:col>3</xdr:col>
                    <xdr:colOff>22860</xdr:colOff>
                    <xdr:row>2</xdr:row>
                    <xdr:rowOff>144780</xdr:rowOff>
                  </from>
                  <to>
                    <xdr:col>3</xdr:col>
                    <xdr:colOff>419100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Button 6">
              <controlPr defaultSize="0" print="0" autoFill="0" autoPict="0" macro="[0]!Makró3_C">
                <anchor moveWithCells="1" sizeWithCells="1">
                  <from>
                    <xdr:col>3</xdr:col>
                    <xdr:colOff>495300</xdr:colOff>
                    <xdr:row>2</xdr:row>
                    <xdr:rowOff>144780</xdr:rowOff>
                  </from>
                  <to>
                    <xdr:col>3</xdr:col>
                    <xdr:colOff>899160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Button 7">
              <controlPr defaultSize="0" print="0" autoFill="0" autoPict="0" macro="[0]!Makró4_D">
                <anchor moveWithCells="1" sizeWithCells="1">
                  <from>
                    <xdr:col>3</xdr:col>
                    <xdr:colOff>975360</xdr:colOff>
                    <xdr:row>2</xdr:row>
                    <xdr:rowOff>144780</xdr:rowOff>
                  </from>
                  <to>
                    <xdr:col>4</xdr:col>
                    <xdr:colOff>259080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Button 8">
              <controlPr defaultSize="0" print="0" autoFill="0" autoPict="0" macro="[0]!Makró5_E">
                <anchor moveWithCells="1" sizeWithCells="1">
                  <from>
                    <xdr:col>4</xdr:col>
                    <xdr:colOff>335280</xdr:colOff>
                    <xdr:row>2</xdr:row>
                    <xdr:rowOff>144780</xdr:rowOff>
                  </from>
                  <to>
                    <xdr:col>5</xdr:col>
                    <xdr:colOff>22860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Button 9">
              <controlPr defaultSize="0" print="0" autoFill="0" autoPict="0" macro="[0]!Makró6_F">
                <anchor moveWithCells="1" sizeWithCells="1">
                  <from>
                    <xdr:col>5</xdr:col>
                    <xdr:colOff>99060</xdr:colOff>
                    <xdr:row>2</xdr:row>
                    <xdr:rowOff>144780</xdr:rowOff>
                  </from>
                  <to>
                    <xdr:col>5</xdr:col>
                    <xdr:colOff>495300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Button 10">
              <controlPr defaultSize="0" print="0" autoFill="0" autoPict="0" macro="[0]!Makró7_G">
                <anchor moveWithCells="1" sizeWithCells="1">
                  <from>
                    <xdr:col>5</xdr:col>
                    <xdr:colOff>571500</xdr:colOff>
                    <xdr:row>2</xdr:row>
                    <xdr:rowOff>144780</xdr:rowOff>
                  </from>
                  <to>
                    <xdr:col>5</xdr:col>
                    <xdr:colOff>975360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Button 11">
              <controlPr defaultSize="0" print="0" autoFill="0" autoPict="0" macro="[0]!Makró8_H">
                <anchor moveWithCells="1" sizeWithCells="1">
                  <from>
                    <xdr:col>5</xdr:col>
                    <xdr:colOff>1051560</xdr:colOff>
                    <xdr:row>2</xdr:row>
                    <xdr:rowOff>144780</xdr:rowOff>
                  </from>
                  <to>
                    <xdr:col>5</xdr:col>
                    <xdr:colOff>1447800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Button 12">
              <controlPr defaultSize="0" print="0" autoFill="0" autoPict="0" macro="[0]!Makró9_I">
                <anchor moveWithCells="1" sizeWithCells="1">
                  <from>
                    <xdr:col>5</xdr:col>
                    <xdr:colOff>1524000</xdr:colOff>
                    <xdr:row>2</xdr:row>
                    <xdr:rowOff>144780</xdr:rowOff>
                  </from>
                  <to>
                    <xdr:col>6</xdr:col>
                    <xdr:colOff>381000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Button 13">
              <controlPr defaultSize="0" print="0" autoFill="0" autoPict="0" macro="[0]!Makró11_J">
                <anchor moveWithCells="1" sizeWithCells="1">
                  <from>
                    <xdr:col>6</xdr:col>
                    <xdr:colOff>457200</xdr:colOff>
                    <xdr:row>2</xdr:row>
                    <xdr:rowOff>144780</xdr:rowOff>
                  </from>
                  <to>
                    <xdr:col>7</xdr:col>
                    <xdr:colOff>251460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Button 14">
              <controlPr defaultSize="0" print="0" autoFill="0" autoPict="0" macro="[0]!Makró10_U">
                <anchor moveWithCells="1" sizeWithCells="1">
                  <from>
                    <xdr:col>8</xdr:col>
                    <xdr:colOff>678180</xdr:colOff>
                    <xdr:row>2</xdr:row>
                    <xdr:rowOff>144780</xdr:rowOff>
                  </from>
                  <to>
                    <xdr:col>8</xdr:col>
                    <xdr:colOff>1074420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Button 15">
              <controlPr defaultSize="0" print="0" autoFill="0" autoPict="0">
                <anchor moveWithCells="1" sizeWithCells="1">
                  <from>
                    <xdr:col>1</xdr:col>
                    <xdr:colOff>1409700</xdr:colOff>
                    <xdr:row>2</xdr:row>
                    <xdr:rowOff>144780</xdr:rowOff>
                  </from>
                  <to>
                    <xdr:col>2</xdr:col>
                    <xdr:colOff>731520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Button 16">
              <controlPr defaultSize="0" print="0" autoFill="0" autoPict="0" macro="[0]!Makró11_K">
                <anchor moveWithCells="1" sizeWithCells="1">
                  <from>
                    <xdr:col>7</xdr:col>
                    <xdr:colOff>327660</xdr:colOff>
                    <xdr:row>2</xdr:row>
                    <xdr:rowOff>144780</xdr:rowOff>
                  </from>
                  <to>
                    <xdr:col>8</xdr:col>
                    <xdr:colOff>114300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Button 17">
              <controlPr defaultSize="0" print="0" autoFill="0" autoPict="0" macro="[0]!Makró11_L">
                <anchor moveWithCells="1" sizeWithCells="1">
                  <from>
                    <xdr:col>8</xdr:col>
                    <xdr:colOff>190500</xdr:colOff>
                    <xdr:row>2</xdr:row>
                    <xdr:rowOff>144780</xdr:rowOff>
                  </from>
                  <to>
                    <xdr:col>8</xdr:col>
                    <xdr:colOff>594360</xdr:colOff>
                    <xdr:row>3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">
    <tabColor rgb="FFC00000"/>
  </sheetPr>
  <dimension ref="A1:M24"/>
  <sheetViews>
    <sheetView showGridLines="0" showRowColHeaders="0" zoomScaleNormal="100" workbookViewId="0">
      <selection activeCell="A5" sqref="A5"/>
    </sheetView>
  </sheetViews>
  <sheetFormatPr defaultColWidth="9.109375" defaultRowHeight="14.4" x14ac:dyDescent="0.3"/>
  <cols>
    <col min="1" max="1" width="4" style="3" customWidth="1"/>
    <col min="2" max="2" width="22.109375" style="2" customWidth="1"/>
    <col min="3" max="3" width="13.6640625" style="2" customWidth="1"/>
    <col min="4" max="4" width="12.5546875" style="238" customWidth="1"/>
    <col min="5" max="5" width="8.33203125" style="238" customWidth="1"/>
    <col min="6" max="6" width="4.5546875" style="238" customWidth="1"/>
    <col min="7" max="12" width="8.6640625" style="2" customWidth="1"/>
    <col min="13" max="13" width="21.33203125" style="2" customWidth="1"/>
    <col min="14" max="16384" width="9.109375" style="2"/>
  </cols>
  <sheetData>
    <row r="1" spans="1:13" ht="18.75" customHeight="1" x14ac:dyDescent="0.3">
      <c r="A1" s="84" t="str">
        <f>alap!A1</f>
        <v>XXIV. TÓPARTI RANDEVÚ - ST. HUBERTUS KUPA</v>
      </c>
    </row>
    <row r="2" spans="1:13" ht="15.75" customHeight="1" x14ac:dyDescent="0.3">
      <c r="A2" s="84"/>
      <c r="C2" s="2" t="s">
        <v>435</v>
      </c>
    </row>
    <row r="3" spans="1:13" x14ac:dyDescent="0.3">
      <c r="A3" s="1" t="str">
        <f>alap!A3</f>
        <v>2022.06.11. szombat</v>
      </c>
    </row>
    <row r="4" spans="1:13" ht="15" customHeight="1" x14ac:dyDescent="0.3">
      <c r="C4" s="246">
        <f>COUNTA(B6:B95)</f>
        <v>6</v>
      </c>
      <c r="D4" s="247" t="s">
        <v>432</v>
      </c>
      <c r="G4" s="259">
        <f t="shared" ref="G4:L4" si="0">SUM(G6:G95)</f>
        <v>2000</v>
      </c>
      <c r="H4" s="259">
        <f t="shared" si="0"/>
        <v>0</v>
      </c>
      <c r="I4" s="259">
        <f t="shared" si="0"/>
        <v>0</v>
      </c>
      <c r="J4" s="259">
        <f t="shared" si="0"/>
        <v>0</v>
      </c>
      <c r="K4" s="259">
        <f t="shared" si="0"/>
        <v>4000</v>
      </c>
      <c r="L4" s="259">
        <f t="shared" si="0"/>
        <v>6000</v>
      </c>
      <c r="M4" s="255" t="s">
        <v>120</v>
      </c>
    </row>
    <row r="5" spans="1:13" ht="29.25" customHeight="1" x14ac:dyDescent="0.3">
      <c r="A5" s="303" t="s">
        <v>0</v>
      </c>
      <c r="B5" s="304" t="s">
        <v>1</v>
      </c>
      <c r="C5" s="304" t="s">
        <v>209</v>
      </c>
      <c r="D5" s="305" t="s">
        <v>4</v>
      </c>
      <c r="E5" s="305" t="s">
        <v>3</v>
      </c>
      <c r="F5" s="305" t="s">
        <v>2</v>
      </c>
      <c r="G5" s="306" t="s">
        <v>196</v>
      </c>
      <c r="H5" s="307" t="s">
        <v>197</v>
      </c>
      <c r="I5" s="308" t="s">
        <v>194</v>
      </c>
      <c r="J5" s="309" t="s">
        <v>195</v>
      </c>
      <c r="K5" s="310" t="s">
        <v>121</v>
      </c>
      <c r="L5" s="311" t="s">
        <v>122</v>
      </c>
      <c r="M5" s="305" t="s">
        <v>5</v>
      </c>
    </row>
    <row r="6" spans="1:13" ht="24" customHeight="1" x14ac:dyDescent="0.3">
      <c r="A6" s="10">
        <v>116</v>
      </c>
      <c r="B6" s="11" t="s">
        <v>336</v>
      </c>
      <c r="C6" s="11" t="s">
        <v>315</v>
      </c>
      <c r="D6" s="245" t="s">
        <v>192</v>
      </c>
      <c r="E6" s="245" t="s">
        <v>10</v>
      </c>
      <c r="F6" s="245"/>
      <c r="G6" s="325" t="s">
        <v>388</v>
      </c>
      <c r="H6" s="325" t="s">
        <v>388</v>
      </c>
      <c r="I6" s="325" t="s">
        <v>388</v>
      </c>
      <c r="J6" s="325" t="s">
        <v>368</v>
      </c>
      <c r="K6" s="325"/>
      <c r="L6" s="325">
        <v>0</v>
      </c>
      <c r="M6" s="11"/>
    </row>
    <row r="7" spans="1:13" ht="24" customHeight="1" x14ac:dyDescent="0.3">
      <c r="A7" s="10">
        <v>117</v>
      </c>
      <c r="B7" s="11" t="s">
        <v>337</v>
      </c>
      <c r="C7" s="11" t="s">
        <v>338</v>
      </c>
      <c r="D7" s="245" t="s">
        <v>192</v>
      </c>
      <c r="E7" s="245" t="s">
        <v>10</v>
      </c>
      <c r="F7" s="245"/>
      <c r="G7" s="325" t="s">
        <v>388</v>
      </c>
      <c r="H7" s="325" t="s">
        <v>388</v>
      </c>
      <c r="I7" s="325" t="s">
        <v>369</v>
      </c>
      <c r="J7" s="325" t="s">
        <v>388</v>
      </c>
      <c r="K7" s="325"/>
      <c r="L7" s="325">
        <v>0</v>
      </c>
      <c r="M7" s="11"/>
    </row>
    <row r="8" spans="1:13" ht="24" customHeight="1" x14ac:dyDescent="0.3">
      <c r="A8" s="10">
        <v>123</v>
      </c>
      <c r="B8" s="11" t="s">
        <v>350</v>
      </c>
      <c r="C8" s="11" t="s">
        <v>351</v>
      </c>
      <c r="D8" s="245" t="s">
        <v>192</v>
      </c>
      <c r="E8" s="245" t="s">
        <v>10</v>
      </c>
      <c r="F8" s="245"/>
      <c r="G8" s="325" t="s">
        <v>388</v>
      </c>
      <c r="H8" s="325">
        <v>0</v>
      </c>
      <c r="I8" s="325" t="s">
        <v>388</v>
      </c>
      <c r="J8" s="325" t="s">
        <v>388</v>
      </c>
      <c r="K8" s="325"/>
      <c r="L8" s="325">
        <v>0</v>
      </c>
      <c r="M8" s="11"/>
    </row>
    <row r="9" spans="1:13" ht="24" customHeight="1" x14ac:dyDescent="0.3">
      <c r="A9" s="10">
        <v>134</v>
      </c>
      <c r="B9" s="11" t="s">
        <v>387</v>
      </c>
      <c r="C9" s="11" t="s">
        <v>315</v>
      </c>
      <c r="D9" s="245" t="s">
        <v>192</v>
      </c>
      <c r="E9" s="245" t="s">
        <v>10</v>
      </c>
      <c r="F9" s="245"/>
      <c r="G9" s="325" t="s">
        <v>388</v>
      </c>
      <c r="H9" s="325">
        <v>0</v>
      </c>
      <c r="I9" s="325" t="s">
        <v>388</v>
      </c>
      <c r="J9" s="325" t="s">
        <v>388</v>
      </c>
      <c r="K9" s="325"/>
      <c r="L9" s="325">
        <v>0</v>
      </c>
      <c r="M9" s="11"/>
    </row>
    <row r="10" spans="1:13" ht="24" customHeight="1" x14ac:dyDescent="0.3">
      <c r="A10" s="10">
        <v>143</v>
      </c>
      <c r="B10" s="11" t="s">
        <v>404</v>
      </c>
      <c r="C10" s="11" t="s">
        <v>146</v>
      </c>
      <c r="D10" s="245" t="s">
        <v>192</v>
      </c>
      <c r="E10" s="245" t="s">
        <v>10</v>
      </c>
      <c r="F10" s="245"/>
      <c r="G10" s="325">
        <v>1000</v>
      </c>
      <c r="H10" s="325" t="s">
        <v>388</v>
      </c>
      <c r="I10" s="325" t="s">
        <v>388</v>
      </c>
      <c r="J10" s="325" t="s">
        <v>388</v>
      </c>
      <c r="K10" s="325">
        <v>2000</v>
      </c>
      <c r="L10" s="325">
        <v>3000</v>
      </c>
      <c r="M10" s="11"/>
    </row>
    <row r="11" spans="1:13" ht="24" customHeight="1" x14ac:dyDescent="0.3">
      <c r="A11" s="10">
        <v>144</v>
      </c>
      <c r="B11" s="11" t="s">
        <v>405</v>
      </c>
      <c r="C11" s="11" t="s">
        <v>146</v>
      </c>
      <c r="D11" s="245" t="s">
        <v>192</v>
      </c>
      <c r="E11" s="245" t="s">
        <v>10</v>
      </c>
      <c r="F11" s="245"/>
      <c r="G11" s="325">
        <v>1000</v>
      </c>
      <c r="H11" s="325" t="s">
        <v>388</v>
      </c>
      <c r="I11" s="325" t="s">
        <v>388</v>
      </c>
      <c r="J11" s="325" t="s">
        <v>388</v>
      </c>
      <c r="K11" s="325">
        <v>2000</v>
      </c>
      <c r="L11" s="325">
        <v>3000</v>
      </c>
      <c r="M11" s="11"/>
    </row>
    <row r="12" spans="1:13" ht="24" customHeight="1" x14ac:dyDescent="0.3">
      <c r="A12" s="10"/>
      <c r="B12" s="11"/>
      <c r="C12" s="11"/>
      <c r="D12" s="245"/>
      <c r="E12" s="245"/>
      <c r="F12" s="245"/>
      <c r="G12" s="11"/>
      <c r="H12" s="11"/>
      <c r="I12" s="11"/>
      <c r="J12" s="11"/>
      <c r="K12" s="11"/>
      <c r="L12" s="11"/>
      <c r="M12" s="11"/>
    </row>
    <row r="13" spans="1:13" ht="24" customHeight="1" x14ac:dyDescent="0.3">
      <c r="A13" s="10"/>
      <c r="B13" s="11"/>
      <c r="C13" s="11"/>
      <c r="D13" s="245"/>
      <c r="E13" s="245"/>
      <c r="F13" s="245"/>
      <c r="G13" s="11"/>
      <c r="H13" s="11"/>
      <c r="I13" s="11"/>
      <c r="J13" s="11"/>
      <c r="K13" s="11"/>
      <c r="L13" s="11"/>
      <c r="M13" s="11"/>
    </row>
    <row r="14" spans="1:13" ht="24" customHeight="1" x14ac:dyDescent="0.3">
      <c r="A14" s="10"/>
      <c r="B14" s="11"/>
      <c r="C14" s="11"/>
      <c r="D14" s="245"/>
      <c r="E14" s="245"/>
      <c r="F14" s="245"/>
      <c r="G14" s="11"/>
      <c r="H14" s="11"/>
      <c r="I14" s="11"/>
      <c r="J14" s="11"/>
      <c r="K14" s="11"/>
      <c r="L14" s="11"/>
      <c r="M14" s="11"/>
    </row>
    <row r="15" spans="1:13" ht="24" customHeight="1" x14ac:dyDescent="0.3">
      <c r="A15" s="10"/>
      <c r="B15" s="11"/>
      <c r="C15" s="11"/>
      <c r="D15" s="245"/>
      <c r="E15" s="245"/>
      <c r="F15" s="245"/>
      <c r="G15" s="11"/>
      <c r="H15" s="11"/>
      <c r="I15" s="11"/>
      <c r="J15" s="11"/>
      <c r="K15" s="11"/>
      <c r="L15" s="11"/>
      <c r="M15" s="11"/>
    </row>
    <row r="16" spans="1:13" ht="24" customHeight="1" x14ac:dyDescent="0.3">
      <c r="A16" s="10"/>
      <c r="B16" s="11"/>
      <c r="C16" s="11"/>
      <c r="D16" s="245"/>
      <c r="E16" s="245"/>
      <c r="F16" s="245"/>
      <c r="G16" s="11"/>
      <c r="H16" s="11"/>
      <c r="I16" s="11"/>
      <c r="J16" s="11"/>
      <c r="K16" s="11"/>
      <c r="L16" s="11"/>
      <c r="M16" s="11"/>
    </row>
    <row r="17" spans="1:13" ht="24" customHeight="1" x14ac:dyDescent="0.3">
      <c r="A17" s="10"/>
      <c r="B17" s="11"/>
      <c r="C17" s="11"/>
      <c r="D17" s="245"/>
      <c r="E17" s="245"/>
      <c r="F17" s="245"/>
      <c r="G17" s="11"/>
      <c r="H17" s="11"/>
      <c r="I17" s="11"/>
      <c r="J17" s="11"/>
      <c r="K17" s="11"/>
      <c r="L17" s="11"/>
      <c r="M17" s="11"/>
    </row>
    <row r="18" spans="1:13" ht="24" customHeight="1" x14ac:dyDescent="0.3">
      <c r="A18" s="10"/>
      <c r="B18" s="11"/>
      <c r="C18" s="11"/>
      <c r="D18" s="245"/>
      <c r="E18" s="245"/>
      <c r="F18" s="245"/>
      <c r="G18" s="11"/>
      <c r="H18" s="11"/>
      <c r="I18" s="11"/>
      <c r="J18" s="11"/>
      <c r="K18" s="11"/>
      <c r="L18" s="11"/>
      <c r="M18" s="11"/>
    </row>
    <row r="19" spans="1:13" ht="24" customHeight="1" x14ac:dyDescent="0.3">
      <c r="A19" s="10"/>
      <c r="B19" s="11"/>
      <c r="C19" s="11"/>
      <c r="D19" s="245"/>
      <c r="E19" s="245"/>
      <c r="F19" s="245"/>
      <c r="G19" s="11"/>
      <c r="H19" s="11"/>
      <c r="I19" s="11"/>
      <c r="J19" s="11"/>
      <c r="K19" s="11"/>
      <c r="L19" s="11"/>
      <c r="M19" s="11"/>
    </row>
    <row r="20" spans="1:13" ht="24" customHeight="1" x14ac:dyDescent="0.3">
      <c r="A20" s="10"/>
      <c r="B20" s="11"/>
      <c r="C20" s="11"/>
      <c r="D20" s="245"/>
      <c r="E20" s="245"/>
      <c r="F20" s="245"/>
      <c r="G20" s="11"/>
      <c r="H20" s="11"/>
      <c r="I20" s="11"/>
      <c r="J20" s="11"/>
      <c r="K20" s="11"/>
      <c r="L20" s="11"/>
      <c r="M20" s="11"/>
    </row>
    <row r="21" spans="1:13" ht="24" customHeight="1" x14ac:dyDescent="0.3">
      <c r="A21" s="10"/>
      <c r="B21" s="11"/>
      <c r="C21" s="11"/>
      <c r="D21" s="245"/>
      <c r="E21" s="245"/>
      <c r="F21" s="245"/>
      <c r="G21" s="11"/>
      <c r="H21" s="11"/>
      <c r="I21" s="11"/>
      <c r="J21" s="11"/>
      <c r="K21" s="11"/>
      <c r="L21" s="11"/>
      <c r="M21" s="11"/>
    </row>
    <row r="22" spans="1:13" ht="24" customHeight="1" x14ac:dyDescent="0.3">
      <c r="A22" s="10"/>
      <c r="B22" s="11"/>
      <c r="C22" s="11"/>
      <c r="D22" s="245"/>
      <c r="E22" s="245"/>
      <c r="F22" s="245"/>
      <c r="G22" s="11"/>
      <c r="H22" s="11"/>
      <c r="I22" s="11"/>
      <c r="J22" s="11"/>
      <c r="K22" s="11"/>
      <c r="L22" s="11"/>
      <c r="M22" s="11"/>
    </row>
    <row r="23" spans="1:13" ht="24" customHeight="1" x14ac:dyDescent="0.3">
      <c r="A23" s="10"/>
      <c r="B23" s="11"/>
      <c r="C23" s="11"/>
      <c r="D23" s="245"/>
      <c r="E23" s="245"/>
      <c r="F23" s="245"/>
      <c r="G23" s="11"/>
      <c r="H23" s="11"/>
      <c r="I23" s="11"/>
      <c r="J23" s="11"/>
      <c r="K23" s="11"/>
      <c r="L23" s="11"/>
      <c r="M23" s="11"/>
    </row>
    <row r="24" spans="1:13" ht="24" customHeight="1" x14ac:dyDescent="0.3">
      <c r="A24" s="10"/>
      <c r="B24" s="11"/>
      <c r="C24" s="11"/>
      <c r="D24" s="245"/>
      <c r="E24" s="245"/>
      <c r="F24" s="245"/>
      <c r="G24" s="11"/>
      <c r="H24" s="11"/>
      <c r="I24" s="11"/>
      <c r="J24" s="11"/>
      <c r="K24" s="11"/>
      <c r="L24" s="11"/>
      <c r="M24" s="11"/>
    </row>
  </sheetData>
  <printOptions horizontalCentered="1"/>
  <pageMargins left="0.27559055118110237" right="0.27559055118110237" top="0.35433070866141736" bottom="0.31496062992125984" header="0.31496062992125984" footer="0.23622047244094491"/>
  <pageSetup paperSize="9" orientation="landscape" r:id="rId1"/>
  <headerFooter>
    <oddFooter>&amp;C&amp;"-,Dőlt"&amp;P. oldal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8" r:id="rId4" name="Button 2">
              <controlPr defaultSize="0" print="0" autoFill="0" autoPict="0" macro="[0]!Makró_befizet_feeder">
                <anchor>
                  <from>
                    <xdr:col>10</xdr:col>
                    <xdr:colOff>289560</xdr:colOff>
                    <xdr:row>1</xdr:row>
                    <xdr:rowOff>106680</xdr:rowOff>
                  </from>
                  <to>
                    <xdr:col>11</xdr:col>
                    <xdr:colOff>259080</xdr:colOff>
                    <xdr:row>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5" name="Button 6">
              <controlPr defaultSize="0" print="0" autoFill="0" autoPict="0" macro="[0]!Makró_befizet_gyermek">
                <anchor>
                  <from>
                    <xdr:col>12</xdr:col>
                    <xdr:colOff>68580</xdr:colOff>
                    <xdr:row>1</xdr:row>
                    <xdr:rowOff>106680</xdr:rowOff>
                  </from>
                  <to>
                    <xdr:col>12</xdr:col>
                    <xdr:colOff>685800</xdr:colOff>
                    <xdr:row>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6" name="Button 5">
              <controlPr defaultSize="0" print="0" autoFill="0" autoPict="0" macro="[0]!Makró_befizet_uszos">
                <anchor>
                  <from>
                    <xdr:col>12</xdr:col>
                    <xdr:colOff>175260</xdr:colOff>
                    <xdr:row>0</xdr:row>
                    <xdr:rowOff>68580</xdr:rowOff>
                  </from>
                  <to>
                    <xdr:col>12</xdr:col>
                    <xdr:colOff>594360</xdr:colOff>
                    <xdr:row>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Button 4">
              <controlPr defaultSize="0" print="0" autoFill="0" autoPict="0" macro="[0]!Makró_befizet_method">
                <anchor>
                  <from>
                    <xdr:col>10</xdr:col>
                    <xdr:colOff>266700</xdr:colOff>
                    <xdr:row>0</xdr:row>
                    <xdr:rowOff>60960</xdr:rowOff>
                  </from>
                  <to>
                    <xdr:col>11</xdr:col>
                    <xdr:colOff>289560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6</vt:i4>
      </vt:variant>
    </vt:vector>
  </HeadingPairs>
  <TitlesOfParts>
    <vt:vector size="17" baseType="lpstr">
      <vt:lpstr>ISMERTETŐ</vt:lpstr>
      <vt:lpstr>alap</vt:lpstr>
      <vt:lpstr>Sorrendek</vt:lpstr>
      <vt:lpstr>Listák</vt:lpstr>
      <vt:lpstr>ÖsszesenÁllás</vt:lpstr>
      <vt:lpstr>Végeredmény</vt:lpstr>
      <vt:lpstr>Statisztika</vt:lpstr>
      <vt:lpstr>MérlegLapok</vt:lpstr>
      <vt:lpstr>Befizetés</vt:lpstr>
      <vt:lpstr>MérlegLap(ures)</vt:lpstr>
      <vt:lpstr>Befizetés(ures)</vt:lpstr>
      <vt:lpstr>alap!Nyomtatási_cím</vt:lpstr>
      <vt:lpstr>Befizetés!Nyomtatási_cím</vt:lpstr>
      <vt:lpstr>'Befizetés(ures)'!Nyomtatási_cím</vt:lpstr>
      <vt:lpstr>Listák!Nyomtatási_cím</vt:lpstr>
      <vt:lpstr>ÖsszesenÁllás!Nyomtatási_cím</vt:lpstr>
      <vt:lpstr>Végeredmény!Nyomtatási_cím</vt:lpstr>
    </vt:vector>
  </TitlesOfParts>
  <Company>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misztarkal</dc:creator>
  <cp:lastModifiedBy>Dr. Dérer István</cp:lastModifiedBy>
  <cp:lastPrinted>2022-06-22T11:08:47Z</cp:lastPrinted>
  <dcterms:created xsi:type="dcterms:W3CDTF">2015-03-23T13:15:51Z</dcterms:created>
  <dcterms:modified xsi:type="dcterms:W3CDTF">2022-06-22T11:09:04Z</dcterms:modified>
</cp:coreProperties>
</file>